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doc\OneDrive - INDOCAFE\Desktop\BACKUP Sr Orlando\REGISTROS CONTABILIDAD\AÑO 2023\PORTAL 2023\SEPTIEMBRE 2023\EXCELL\"/>
    </mc:Choice>
  </mc:AlternateContent>
  <xr:revisionPtr revIDLastSave="0" documentId="13_ncr:1_{EBD7DC12-D6CD-49BB-9418-B912DDEA942E}" xr6:coauthVersionLast="47" xr6:coauthVersionMax="47" xr10:uidLastSave="{00000000-0000-0000-0000-000000000000}"/>
  <bookViews>
    <workbookView xWindow="-120" yWindow="-120" windowWidth="20730" windowHeight="11160" firstSheet="1" activeTab="1" xr2:uid="{00000000-000D-0000-FFFF-FFFF00000000}"/>
  </bookViews>
  <sheets>
    <sheet name="disponiblilidad" sheetId="2" r:id="rId1"/>
    <sheet name="Inventario almacen" sheetId="1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1" i="11" l="1"/>
  <c r="D128" i="11" l="1"/>
  <c r="E128" i="11" s="1"/>
  <c r="D127" i="11"/>
  <c r="E127" i="11" s="1"/>
  <c r="E126" i="11"/>
  <c r="D125" i="11"/>
  <c r="E125" i="11" s="1"/>
  <c r="E61" i="11"/>
  <c r="E14" i="11"/>
  <c r="E60" i="11"/>
  <c r="C18" i="11"/>
  <c r="E18" i="11" s="1"/>
  <c r="E62" i="11"/>
  <c r="E13" i="11"/>
  <c r="E129" i="11"/>
  <c r="E124" i="11"/>
  <c r="E123" i="11"/>
  <c r="E122" i="11"/>
  <c r="E121" i="11"/>
  <c r="E120" i="11"/>
  <c r="E119" i="11"/>
  <c r="E118" i="11"/>
  <c r="E117" i="11"/>
  <c r="E116" i="11"/>
  <c r="E115" i="11"/>
  <c r="E114" i="11"/>
  <c r="E113" i="11"/>
  <c r="E112" i="11"/>
  <c r="E111" i="11"/>
  <c r="E110" i="11"/>
  <c r="E109" i="11"/>
  <c r="E108" i="11"/>
  <c r="E107" i="11"/>
  <c r="E106" i="11"/>
  <c r="E105" i="11"/>
  <c r="E104" i="11"/>
  <c r="E103" i="11"/>
  <c r="E102" i="11"/>
  <c r="E101" i="11"/>
  <c r="E100" i="11"/>
  <c r="E99" i="11"/>
  <c r="E98" i="11"/>
  <c r="E97" i="11"/>
  <c r="E96" i="11"/>
  <c r="E95" i="11"/>
  <c r="E94" i="11"/>
  <c r="E93" i="11"/>
  <c r="E92" i="11"/>
  <c r="E91" i="11"/>
  <c r="E90" i="11"/>
  <c r="E89" i="11"/>
  <c r="E88" i="11"/>
  <c r="E87" i="11"/>
  <c r="E86" i="11"/>
  <c r="E85" i="11"/>
  <c r="E84" i="11"/>
  <c r="E83" i="11"/>
  <c r="E82" i="11"/>
  <c r="E81" i="11"/>
  <c r="E80" i="11"/>
  <c r="E79" i="11"/>
  <c r="E78" i="11"/>
  <c r="E77" i="11"/>
  <c r="E76" i="11"/>
  <c r="E75" i="11"/>
  <c r="E74" i="11"/>
  <c r="E73" i="11"/>
  <c r="E72" i="11"/>
  <c r="E71" i="11"/>
  <c r="E70" i="11"/>
  <c r="E69" i="11"/>
  <c r="E68" i="11"/>
  <c r="E67" i="11"/>
  <c r="E66" i="11"/>
  <c r="E65" i="11"/>
  <c r="E64" i="11"/>
  <c r="E63" i="11"/>
  <c r="E59" i="11"/>
  <c r="E58" i="11"/>
  <c r="E57" i="11"/>
  <c r="E56" i="11"/>
  <c r="E55" i="11"/>
  <c r="E54" i="11"/>
  <c r="E53" i="11"/>
  <c r="E52" i="11"/>
  <c r="E51" i="11"/>
  <c r="E50" i="11"/>
  <c r="E49" i="11"/>
  <c r="E48" i="11"/>
  <c r="E47" i="11"/>
  <c r="E46" i="11"/>
  <c r="E45" i="11"/>
  <c r="E44" i="11"/>
  <c r="E43" i="11"/>
  <c r="E42" i="11"/>
  <c r="E41" i="11"/>
  <c r="E40" i="11"/>
  <c r="E39" i="11"/>
  <c r="E38" i="11"/>
  <c r="E37" i="11"/>
  <c r="E36" i="11"/>
  <c r="E35" i="11"/>
  <c r="E34" i="11"/>
  <c r="E33" i="11"/>
  <c r="E32" i="11"/>
  <c r="E31" i="11"/>
  <c r="E30" i="11"/>
  <c r="E29" i="11"/>
  <c r="C28" i="11"/>
  <c r="E28" i="11" s="1"/>
  <c r="E27" i="11"/>
  <c r="E26" i="11"/>
  <c r="E25" i="11"/>
  <c r="C24" i="11"/>
  <c r="E24" i="11" s="1"/>
  <c r="E23" i="11"/>
  <c r="C22" i="11"/>
  <c r="E22" i="11" s="1"/>
  <c r="E21" i="11"/>
  <c r="E20" i="11"/>
  <c r="E19" i="11"/>
  <c r="C17" i="11"/>
  <c r="E17" i="11" s="1"/>
  <c r="E16" i="11"/>
  <c r="E15" i="11"/>
  <c r="E12" i="11"/>
  <c r="E11" i="11"/>
  <c r="E130" i="11" l="1"/>
  <c r="J41" i="2" l="1"/>
  <c r="G56" i="2" l="1"/>
  <c r="G62" i="2"/>
  <c r="G54" i="2"/>
  <c r="B58" i="2" l="1"/>
  <c r="E47" i="2" l="1"/>
  <c r="G51" i="2" l="1"/>
  <c r="F51" i="2"/>
  <c r="C106" i="2" l="1"/>
  <c r="D58" i="2" l="1"/>
  <c r="E57" i="2"/>
  <c r="H44" i="2"/>
  <c r="F54" i="2" l="1"/>
  <c r="D52" i="2" s="1"/>
  <c r="E97" i="2"/>
  <c r="E98" i="2" s="1"/>
  <c r="F162" i="2" l="1"/>
  <c r="F161" i="2"/>
  <c r="H52" i="2"/>
  <c r="H54" i="2" l="1"/>
  <c r="D115" i="2" l="1"/>
  <c r="D207" i="2" l="1"/>
  <c r="E202" i="2"/>
  <c r="E204" i="2" s="1"/>
  <c r="D197" i="2"/>
  <c r="D199" i="2" s="1"/>
  <c r="H146" i="2" l="1"/>
  <c r="E182" i="2"/>
  <c r="E184" i="2" s="1"/>
  <c r="H106" i="2"/>
  <c r="C166" i="2"/>
  <c r="E155" i="2"/>
  <c r="C159" i="2" l="1"/>
  <c r="E151" i="2"/>
  <c r="D142" i="2"/>
  <c r="C147" i="2"/>
  <c r="H136" i="2"/>
  <c r="D134" i="2"/>
  <c r="D136" i="2" s="1"/>
  <c r="D138" i="2" s="1"/>
  <c r="C134" i="2"/>
  <c r="C135" i="2" s="1"/>
  <c r="C125" i="2"/>
  <c r="C127" i="2" s="1"/>
  <c r="C128" i="2" s="1"/>
  <c r="E125" i="2"/>
  <c r="F107" i="2"/>
  <c r="E108" i="2"/>
  <c r="J68" i="2" l="1"/>
  <c r="J69" i="2" s="1"/>
  <c r="H61" i="2"/>
  <c r="I62" i="2" s="1"/>
  <c r="I64" i="2" s="1"/>
  <c r="H62" i="2" l="1"/>
  <c r="H63" i="2" s="1"/>
  <c r="K66" i="2" s="1"/>
  <c r="K68" i="2" s="1"/>
  <c r="J64" i="2"/>
  <c r="F82" i="2" l="1"/>
  <c r="D81" i="2"/>
  <c r="I81" i="2" s="1"/>
  <c r="C80" i="2"/>
  <c r="B80" i="2"/>
  <c r="B82" i="2" s="1"/>
  <c r="H79" i="2"/>
  <c r="D79" i="2"/>
  <c r="C78" i="2"/>
  <c r="D78" i="2" s="1"/>
  <c r="I78" i="2" s="1"/>
  <c r="H77" i="2"/>
  <c r="C77" i="2"/>
  <c r="D76" i="2"/>
  <c r="I76" i="2" s="1"/>
  <c r="E75" i="2"/>
  <c r="E82" i="2" s="1"/>
  <c r="D75" i="2"/>
  <c r="D74" i="2"/>
  <c r="I74" i="2" s="1"/>
  <c r="D73" i="2"/>
  <c r="I73" i="2" s="1"/>
  <c r="D72" i="2"/>
  <c r="I72" i="2" s="1"/>
  <c r="D71" i="2"/>
  <c r="I71" i="2" s="1"/>
  <c r="D70" i="2"/>
  <c r="I70" i="2" s="1"/>
  <c r="D69" i="2"/>
  <c r="I69" i="2" s="1"/>
  <c r="I68" i="2"/>
  <c r="J63" i="2"/>
  <c r="I75" i="2" l="1"/>
  <c r="H82" i="2"/>
  <c r="I79" i="2"/>
  <c r="C82" i="2"/>
  <c r="D77" i="2"/>
  <c r="I77" i="2" s="1"/>
  <c r="D80" i="2"/>
  <c r="I80" i="2" s="1"/>
  <c r="I82" i="2" l="1"/>
  <c r="D82" i="2"/>
  <c r="F59" i="2" l="1"/>
  <c r="I54" i="2" l="1"/>
  <c r="I55" i="2" s="1"/>
  <c r="I56" i="2" s="1"/>
  <c r="I57" i="2" s="1"/>
  <c r="I58" i="2" s="1"/>
  <c r="I59" i="2" s="1"/>
  <c r="I60" i="2" s="1"/>
  <c r="F47" i="2" l="1"/>
  <c r="I48" i="2" l="1"/>
  <c r="F55" i="2" l="1"/>
  <c r="I34" i="2" l="1"/>
  <c r="F22" i="2"/>
  <c r="C21" i="2"/>
  <c r="D21" i="2" s="1"/>
  <c r="J21" i="2" s="1"/>
  <c r="C20" i="2"/>
  <c r="B20" i="2"/>
  <c r="B22" i="2" s="1"/>
  <c r="H19" i="2"/>
  <c r="H22" i="2" s="1"/>
  <c r="D19" i="2"/>
  <c r="C18" i="2"/>
  <c r="D18" i="2" s="1"/>
  <c r="J18" i="2" s="1"/>
  <c r="I17" i="2"/>
  <c r="I22" i="2" s="1"/>
  <c r="C17" i="2"/>
  <c r="D16" i="2"/>
  <c r="J16" i="2" s="1"/>
  <c r="E15" i="2"/>
  <c r="E22" i="2" s="1"/>
  <c r="D15" i="2"/>
  <c r="D14" i="2"/>
  <c r="J14" i="2" s="1"/>
  <c r="D13" i="2"/>
  <c r="J13" i="2" s="1"/>
  <c r="D12" i="2"/>
  <c r="J12" i="2" s="1"/>
  <c r="D11" i="2"/>
  <c r="J11" i="2" s="1"/>
  <c r="D10" i="2"/>
  <c r="J10" i="2" s="1"/>
  <c r="D9" i="2"/>
  <c r="J8" i="2"/>
  <c r="J19" i="2" l="1"/>
  <c r="C22" i="2"/>
  <c r="J15" i="2"/>
  <c r="J9" i="2"/>
  <c r="D20" i="2"/>
  <c r="J20" i="2" s="1"/>
  <c r="D17" i="2"/>
  <c r="J17" i="2" s="1"/>
  <c r="D22" i="2" l="1"/>
  <c r="J22" i="2"/>
  <c r="J36" i="2" s="1"/>
  <c r="D55" i="2" l="1"/>
</calcChain>
</file>

<file path=xl/sharedStrings.xml><?xml version="1.0" encoding="utf-8"?>
<sst xmlns="http://schemas.openxmlformats.org/spreadsheetml/2006/main" count="318" uniqueCount="186">
  <si>
    <t>CONSEJO DOMINICANO DEL CAFÉ</t>
  </si>
  <si>
    <t>Años</t>
  </si>
  <si>
    <t>Total</t>
  </si>
  <si>
    <t xml:space="preserve"> </t>
  </si>
  <si>
    <t>DESCRIPCION</t>
  </si>
  <si>
    <t>Disponibilidad</t>
  </si>
  <si>
    <t>CONCILIACION  DE LOS VALORES PENDIENTES POR COBRAR AL BANCO AGRICOLA</t>
  </si>
  <si>
    <t>Compensación</t>
  </si>
  <si>
    <t>Bienes Adjudicados
En poder
 BA</t>
  </si>
  <si>
    <t>Valores recuperados</t>
  </si>
  <si>
    <t>Menos valores</t>
  </si>
  <si>
    <t>Menos</t>
  </si>
  <si>
    <t>Facturas</t>
  </si>
  <si>
    <t>Pendiente por</t>
  </si>
  <si>
    <t>Capital</t>
  </si>
  <si>
    <t>Interes</t>
  </si>
  <si>
    <t xml:space="preserve">Pagados </t>
  </si>
  <si>
    <t>Reinversion</t>
  </si>
  <si>
    <t>COMPENSACIÓN
Comisión Y Otros
BA</t>
  </si>
  <si>
    <t>pagar Codocafe</t>
  </si>
  <si>
    <t>NOTAS:</t>
  </si>
  <si>
    <t>BIENES ADJUDICADOS</t>
  </si>
  <si>
    <t xml:space="preserve"> VALORES DE ADJUDICACION DE PARCELA NO. 188 ,DC122 JUNCALITO JANICO</t>
  </si>
  <si>
    <t>Tesoría Nacional</t>
  </si>
  <si>
    <t>Banco de Reservas</t>
  </si>
  <si>
    <t>Cuenta Recuperación , Banco Agrícola</t>
  </si>
  <si>
    <t>Caja Chica</t>
  </si>
  <si>
    <t>UNIDAD</t>
  </si>
  <si>
    <t>Instituto Dominicano Café</t>
  </si>
  <si>
    <t>Nota II</t>
  </si>
  <si>
    <t>DESDE EL AÑO 2005 HASTA EL 31 DE AGOSTO 2018</t>
  </si>
  <si>
    <t>ENE-AGOSTO
2018</t>
  </si>
  <si>
    <t xml:space="preserve">DE 218,295 METROS CUADRADOS,NO VENDIDA , POR </t>
  </si>
  <si>
    <t xml:space="preserve">VALORES DE ADJUDICACION DE PARCELA NO.7, CT 3, DC 122, </t>
  </si>
  <si>
    <t>total pendiente al 31 de agosto 2018………………………………………………………………………………………………………………………</t>
  </si>
  <si>
    <t>TOTAL</t>
  </si>
  <si>
    <t>pagos en procesos</t>
  </si>
  <si>
    <t>balance CUT. Al 10.07.2019</t>
  </si>
  <si>
    <t>Licda. Josefina Camilo</t>
  </si>
  <si>
    <t>LIBROS</t>
  </si>
  <si>
    <t>CAJAS</t>
  </si>
  <si>
    <t>DESDE EL AÑO 2005 HASTA EL 31 DE DICIEMBRE 2018</t>
  </si>
  <si>
    <t>Preparado por :</t>
  </si>
  <si>
    <t>LUCIA FELIZ A.</t>
  </si>
  <si>
    <t xml:space="preserve">1,416,876.91   y RD$ 1,292,052.00 </t>
  </si>
  <si>
    <t>Ajuste en los activos</t>
  </si>
  <si>
    <t>productos utiles varios</t>
  </si>
  <si>
    <t>total utiles varios</t>
  </si>
  <si>
    <t>Ajuste en los activos Laboratorio</t>
  </si>
  <si>
    <t>EXISTENCIA</t>
  </si>
  <si>
    <t xml:space="preserve">TOTAL </t>
  </si>
  <si>
    <t>Sub-Directora Administrativa</t>
  </si>
  <si>
    <t>Lic. José Orlando Núñez</t>
  </si>
  <si>
    <t>Enc. Depto. Contabilidad</t>
  </si>
  <si>
    <t>Total disponibilidad</t>
  </si>
  <si>
    <t>cajitas</t>
  </si>
  <si>
    <t>caja</t>
  </si>
  <si>
    <t>-</t>
  </si>
  <si>
    <t>renta</t>
  </si>
  <si>
    <t>electricidad</t>
  </si>
  <si>
    <t>CAJITAS</t>
  </si>
  <si>
    <t>AL 30.06.2023</t>
  </si>
  <si>
    <t>Costo unitario</t>
  </si>
  <si>
    <t>vaso plástico</t>
  </si>
  <si>
    <t>faldo de cuchara plastica</t>
  </si>
  <si>
    <t>faldo</t>
  </si>
  <si>
    <t>papel bond 8 1/2 x 11</t>
  </si>
  <si>
    <t>resma</t>
  </si>
  <si>
    <t>papel bond 8 1/2 x 14</t>
  </si>
  <si>
    <t>cloro</t>
  </si>
  <si>
    <t>galones</t>
  </si>
  <si>
    <t>libro record 500 pag.</t>
  </si>
  <si>
    <t>unidades</t>
  </si>
  <si>
    <t>grapas</t>
  </si>
  <si>
    <t>gancho acord</t>
  </si>
  <si>
    <t>saca grapas</t>
  </si>
  <si>
    <t>Clip pequeño</t>
  </si>
  <si>
    <t>saca grapas pequeños</t>
  </si>
  <si>
    <t>gancho billetero</t>
  </si>
  <si>
    <t>ace</t>
  </si>
  <si>
    <t>saco  de 30 /1 libs</t>
  </si>
  <si>
    <t>gancho billetero pequeño</t>
  </si>
  <si>
    <t>perforadora de 3 hoyo</t>
  </si>
  <si>
    <t>grapadora pequeña</t>
  </si>
  <si>
    <t>grapas 26/6</t>
  </si>
  <si>
    <t>goma en barra</t>
  </si>
  <si>
    <t>ambientadores</t>
  </si>
  <si>
    <t>cinta para maquina escribir</t>
  </si>
  <si>
    <t>clip grande</t>
  </si>
  <si>
    <t>cinta adhesiva</t>
  </si>
  <si>
    <t>espiral</t>
  </si>
  <si>
    <t>cajas</t>
  </si>
  <si>
    <t>limpia cristal</t>
  </si>
  <si>
    <t>jabonera de baño</t>
  </si>
  <si>
    <t>tinta negra hp 74</t>
  </si>
  <si>
    <t>tinta a color hp 75</t>
  </si>
  <si>
    <t>tinta a color hp 60</t>
  </si>
  <si>
    <t>unidad</t>
  </si>
  <si>
    <t>tinta a color hp 22</t>
  </si>
  <si>
    <t>tinta a color hp 60 negro</t>
  </si>
  <si>
    <t>acido muriático</t>
  </si>
  <si>
    <t>pepel en rollos máquina Sumadora</t>
  </si>
  <si>
    <t>rollos</t>
  </si>
  <si>
    <t>bebedero daiwa</t>
  </si>
  <si>
    <t>extintores  pequeño</t>
  </si>
  <si>
    <t>extintores mediano</t>
  </si>
  <si>
    <t>extintores  grande</t>
  </si>
  <si>
    <t>embudo para vivero</t>
  </si>
  <si>
    <t>cartucho xero</t>
  </si>
  <si>
    <t>espirales 3/8</t>
  </si>
  <si>
    <t>caja 100/1</t>
  </si>
  <si>
    <t>espirales 5/16</t>
  </si>
  <si>
    <t>libretas rayadas 8 1/2 x11</t>
  </si>
  <si>
    <t>paquete</t>
  </si>
  <si>
    <t>laber  adhesiva</t>
  </si>
  <si>
    <t>papel</t>
  </si>
  <si>
    <t>escuba</t>
  </si>
  <si>
    <t>botellon de agua</t>
  </si>
  <si>
    <t>tasa de café</t>
  </si>
  <si>
    <t>cuchara</t>
  </si>
  <si>
    <t>olla</t>
  </si>
  <si>
    <t>tapa de olla</t>
  </si>
  <si>
    <t>azucar</t>
  </si>
  <si>
    <t>libras</t>
  </si>
  <si>
    <t>papel higienico mediano jumbo</t>
  </si>
  <si>
    <t>papel de baño p/ dispensadores</t>
  </si>
  <si>
    <t>cuchara plásticas</t>
  </si>
  <si>
    <t>caja 6/1</t>
  </si>
  <si>
    <t>cucharas plasticas transparente</t>
  </si>
  <si>
    <t>gomitas</t>
  </si>
  <si>
    <t>descinfectante</t>
  </si>
  <si>
    <t>royo para maquina</t>
  </si>
  <si>
    <t>jabon de fregar</t>
  </si>
  <si>
    <t>jabon de mano</t>
  </si>
  <si>
    <t>sobre manila 8 1/2 x 11</t>
  </si>
  <si>
    <t>cinta pegante grande</t>
  </si>
  <si>
    <t>grapadoras</t>
  </si>
  <si>
    <t>ganchos tipo billetero</t>
  </si>
  <si>
    <t>masacarillas</t>
  </si>
  <si>
    <t>cinta pegantepequeña</t>
  </si>
  <si>
    <t>esponja de fregar</t>
  </si>
  <si>
    <t>cinta pegante</t>
  </si>
  <si>
    <t>plato hondo plástico</t>
  </si>
  <si>
    <t>paquete 25/1</t>
  </si>
  <si>
    <t>plato hondo plástico con tapa</t>
  </si>
  <si>
    <t>Clip grande</t>
  </si>
  <si>
    <t>suapers</t>
  </si>
  <si>
    <t>bandeja de escritorio</t>
  </si>
  <si>
    <t>forders manila 8 1/2 x 11</t>
  </si>
  <si>
    <t>forders manila 8 1/2 x 14</t>
  </si>
  <si>
    <t>cartucho HP 83A</t>
  </si>
  <si>
    <t>cartucho 17A</t>
  </si>
  <si>
    <t>cartucho 3610</t>
  </si>
  <si>
    <t>ace de 30 libras</t>
  </si>
  <si>
    <t>cortadora de papel</t>
  </si>
  <si>
    <t>Dispensadores de papel de baño</t>
  </si>
  <si>
    <t>bandeja de metal</t>
  </si>
  <si>
    <t>tualla cocina</t>
  </si>
  <si>
    <t>saca grapa</t>
  </si>
  <si>
    <t>sobrecito de pago</t>
  </si>
  <si>
    <t>grapadora grande</t>
  </si>
  <si>
    <t>grapa</t>
  </si>
  <si>
    <t>gancho tipo billetero</t>
  </si>
  <si>
    <t>tijera grande</t>
  </si>
  <si>
    <t>tijera chiquita</t>
  </si>
  <si>
    <t>corrector liquido lapiz</t>
  </si>
  <si>
    <t>clip billetero</t>
  </si>
  <si>
    <t>clip</t>
  </si>
  <si>
    <t>tuberia flexible</t>
  </si>
  <si>
    <t>rollo</t>
  </si>
  <si>
    <t>tinta epson 664 y 544</t>
  </si>
  <si>
    <t>desinfectante</t>
  </si>
  <si>
    <t>Fundas negra de 30 a 55 gal. 28x34</t>
  </si>
  <si>
    <t>fundas plasticas 15 galones 24x30 100/1</t>
  </si>
  <si>
    <t>fundas plasticas 17x22 5 galones 1000/1</t>
  </si>
  <si>
    <t>al 30 de septiembre 2023</t>
  </si>
  <si>
    <t>Alcohol</t>
  </si>
  <si>
    <t>faldos</t>
  </si>
  <si>
    <t>Regogedor Basura</t>
  </si>
  <si>
    <t>papel tradición</t>
  </si>
  <si>
    <t>vasos plasticos 5 onz</t>
  </si>
  <si>
    <t>lapiceros azules</t>
  </si>
  <si>
    <t>lapiceros negros</t>
  </si>
  <si>
    <t>Ambientadores</t>
  </si>
  <si>
    <t>Unidades</t>
  </si>
  <si>
    <t>Inventario de almacen Trimestre Julio-Septiembre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</si>
</sst>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-* #,##0.00_-;\-* #,##0.00_-;_-* &quot;-&quot;??_-;_-@_-"/>
    <numFmt numFmtId="165" formatCode="_-&quot;$&quot;* #,##0.00_-;\-&quot;$&quot;* #,##0.00_-;_-&quot;$&quot;* &quot;-&quot;??_-;_-@_-"/>
    <numFmt numFmtId="168" formatCode="_-* #,##0.00\ _P_t_s_-;\-* #,##0.00\ _P_t_s_-;_-* &quot;-&quot;??\ _P_t_s_-;_-@_-"/>
    <numFmt numFmtId="172" formatCode="_-* #,##0\ _p_t_a_-;\-* #,##0\ _p_t_a_-;_-* &quot;-&quot;\ _p_t_a_-;_-@_-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16"/>
      <color theme="1"/>
      <name val="Calibri"/>
      <family val="2"/>
      <scheme val="minor"/>
    </font>
    <font>
      <b/>
      <sz val="16"/>
      <name val="Arial"/>
      <family val="2"/>
    </font>
    <font>
      <b/>
      <sz val="9"/>
      <name val="Arial"/>
      <family val="2"/>
    </font>
    <font>
      <sz val="11"/>
      <color rgb="FFFF0000"/>
      <name val="Calibri"/>
      <family val="2"/>
      <scheme val="minor"/>
    </font>
    <font>
      <b/>
      <sz val="11"/>
      <name val="Arial"/>
      <family val="2"/>
    </font>
    <font>
      <b/>
      <sz val="14"/>
      <color indexed="8"/>
      <name val="Times New Roman"/>
      <family val="1"/>
    </font>
    <font>
      <b/>
      <sz val="9"/>
      <color indexed="8"/>
      <name val="Times New Roman"/>
      <family val="1"/>
    </font>
    <font>
      <sz val="14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entury"/>
      <family val="1"/>
    </font>
    <font>
      <b/>
      <sz val="16"/>
      <color theme="1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0"/>
      <name val="Arial"/>
      <family val="2"/>
    </font>
    <font>
      <sz val="10"/>
      <color indexed="8"/>
      <name val="MS Sans Serif"/>
      <family val="2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u/>
      <sz val="11"/>
      <color theme="1"/>
      <name val="Century"/>
      <family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4" fillId="0" borderId="0"/>
  </cellStyleXfs>
  <cellXfs count="123">
    <xf numFmtId="0" fontId="0" fillId="0" borderId="0" xfId="0"/>
    <xf numFmtId="164" fontId="0" fillId="0" borderId="0" xfId="1" applyFont="1"/>
    <xf numFmtId="164" fontId="4" fillId="2" borderId="1" xfId="1" applyFont="1" applyFill="1" applyBorder="1"/>
    <xf numFmtId="164" fontId="6" fillId="0" borderId="0" xfId="1" applyFont="1"/>
    <xf numFmtId="164" fontId="6" fillId="0" borderId="0" xfId="1" applyFont="1" applyFill="1"/>
    <xf numFmtId="164" fontId="0" fillId="2" borderId="0" xfId="1" applyFont="1" applyFill="1"/>
    <xf numFmtId="164" fontId="10" fillId="2" borderId="0" xfId="1" applyFont="1" applyFill="1"/>
    <xf numFmtId="164" fontId="2" fillId="0" borderId="2" xfId="1" applyFont="1" applyBorder="1"/>
    <xf numFmtId="164" fontId="0" fillId="5" borderId="0" xfId="1" applyFont="1" applyFill="1"/>
    <xf numFmtId="164" fontId="2" fillId="0" borderId="0" xfId="1" applyFont="1"/>
    <xf numFmtId="164" fontId="0" fillId="2" borderId="0" xfId="1" applyFont="1" applyFill="1" applyBorder="1"/>
    <xf numFmtId="164" fontId="4" fillId="2" borderId="1" xfId="1" applyFont="1" applyFill="1" applyBorder="1" applyAlignment="1">
      <alignment horizontal="right" wrapText="1"/>
    </xf>
    <xf numFmtId="164" fontId="6" fillId="0" borderId="1" xfId="1" applyFont="1" applyFill="1" applyBorder="1"/>
    <xf numFmtId="164" fontId="6" fillId="0" borderId="8" xfId="1" applyFont="1" applyBorder="1"/>
    <xf numFmtId="4" fontId="18" fillId="0" borderId="0" xfId="0" applyNumberFormat="1" applyFont="1" applyAlignment="1">
      <alignment horizontal="right" vertical="center"/>
    </xf>
    <xf numFmtId="164" fontId="6" fillId="5" borderId="6" xfId="1" applyFont="1" applyFill="1" applyBorder="1"/>
    <xf numFmtId="0" fontId="18" fillId="0" borderId="0" xfId="0" applyFont="1" applyAlignment="1">
      <alignment horizontal="right" vertical="center"/>
    </xf>
    <xf numFmtId="0" fontId="22" fillId="2" borderId="0" xfId="0" applyFont="1" applyFill="1"/>
    <xf numFmtId="164" fontId="6" fillId="0" borderId="1" xfId="1" applyFont="1" applyBorder="1"/>
    <xf numFmtId="164" fontId="6" fillId="2" borderId="1" xfId="1" applyFont="1" applyFill="1" applyBorder="1"/>
    <xf numFmtId="164" fontId="6" fillId="0" borderId="0" xfId="1" applyFont="1" applyBorder="1"/>
    <xf numFmtId="164" fontId="4" fillId="0" borderId="0" xfId="1" applyFont="1"/>
    <xf numFmtId="164" fontId="16" fillId="0" borderId="0" xfId="1" applyFont="1" applyAlignment="1">
      <alignment horizontal="center" vertical="center"/>
    </xf>
    <xf numFmtId="164" fontId="6" fillId="0" borderId="5" xfId="1" applyFont="1" applyBorder="1" applyAlignment="1">
      <alignment horizontal="center"/>
    </xf>
    <xf numFmtId="0" fontId="18" fillId="6" borderId="0" xfId="0" applyFont="1" applyFill="1" applyAlignment="1">
      <alignment horizontal="justify" vertical="center"/>
    </xf>
    <xf numFmtId="164" fontId="11" fillId="0" borderId="0" xfId="1" applyFont="1" applyAlignment="1">
      <alignment horizontal="center"/>
    </xf>
    <xf numFmtId="164" fontId="6" fillId="0" borderId="0" xfId="1" applyFont="1" applyAlignment="1">
      <alignment horizontal="left"/>
    </xf>
    <xf numFmtId="164" fontId="0" fillId="0" borderId="0" xfId="1" applyFont="1" applyAlignment="1">
      <alignment horizontal="left"/>
    </xf>
    <xf numFmtId="164" fontId="6" fillId="0" borderId="0" xfId="1" applyFont="1" applyAlignment="1"/>
    <xf numFmtId="164" fontId="6" fillId="0" borderId="0" xfId="1" applyFont="1" applyAlignment="1">
      <alignment horizontal="center"/>
    </xf>
    <xf numFmtId="164" fontId="6" fillId="0" borderId="1" xfId="1" applyFont="1" applyFill="1" applyBorder="1" applyAlignment="1">
      <alignment horizontal="center"/>
    </xf>
    <xf numFmtId="164" fontId="6" fillId="0" borderId="1" xfId="1" applyFont="1" applyFill="1" applyBorder="1" applyAlignment="1">
      <alignment horizontal="left"/>
    </xf>
    <xf numFmtId="164" fontId="6" fillId="2" borderId="1" xfId="1" applyFont="1" applyFill="1" applyBorder="1" applyAlignment="1">
      <alignment horizontal="left"/>
    </xf>
    <xf numFmtId="164" fontId="6" fillId="2" borderId="1" xfId="1" applyFont="1" applyFill="1" applyBorder="1" applyAlignment="1">
      <alignment horizontal="center" wrapText="1"/>
    </xf>
    <xf numFmtId="164" fontId="0" fillId="3" borderId="0" xfId="1" applyFont="1" applyFill="1" applyBorder="1" applyAlignment="1">
      <alignment horizontal="left"/>
    </xf>
    <xf numFmtId="164" fontId="0" fillId="3" borderId="0" xfId="1" applyFont="1" applyFill="1" applyBorder="1"/>
    <xf numFmtId="164" fontId="4" fillId="3" borderId="0" xfId="1" applyFont="1" applyFill="1" applyBorder="1"/>
    <xf numFmtId="164" fontId="6" fillId="2" borderId="1" xfId="1" applyFont="1" applyFill="1" applyBorder="1" applyAlignment="1">
      <alignment wrapText="1"/>
    </xf>
    <xf numFmtId="164" fontId="6" fillId="2" borderId="0" xfId="1" applyFont="1" applyFill="1"/>
    <xf numFmtId="164" fontId="9" fillId="3" borderId="0" xfId="1" applyFont="1" applyFill="1" applyBorder="1"/>
    <xf numFmtId="164" fontId="8" fillId="0" borderId="0" xfId="1" applyFont="1" applyFill="1"/>
    <xf numFmtId="164" fontId="6" fillId="0" borderId="0" xfId="1" applyFont="1" applyFill="1" applyAlignment="1">
      <alignment horizontal="right" wrapText="1"/>
    </xf>
    <xf numFmtId="164" fontId="6" fillId="0" borderId="1" xfId="1" applyFont="1" applyFill="1" applyBorder="1" applyAlignment="1">
      <alignment horizontal="right" wrapText="1"/>
    </xf>
    <xf numFmtId="164" fontId="6" fillId="0" borderId="6" xfId="1" applyFont="1" applyBorder="1"/>
    <xf numFmtId="164" fontId="6" fillId="0" borderId="6" xfId="1" applyFont="1" applyFill="1" applyBorder="1"/>
    <xf numFmtId="164" fontId="6" fillId="0" borderId="6" xfId="1" applyFont="1" applyFill="1" applyBorder="1" applyAlignment="1" applyProtection="1"/>
    <xf numFmtId="164" fontId="4" fillId="2" borderId="6" xfId="1" applyFont="1" applyFill="1" applyBorder="1" applyAlignment="1" applyProtection="1"/>
    <xf numFmtId="164" fontId="6" fillId="2" borderId="6" xfId="1" applyFont="1" applyFill="1" applyBorder="1"/>
    <xf numFmtId="164" fontId="0" fillId="3" borderId="0" xfId="1" applyFont="1" applyFill="1"/>
    <xf numFmtId="164" fontId="5" fillId="0" borderId="0" xfId="1" applyFont="1"/>
    <xf numFmtId="164" fontId="6" fillId="3" borderId="0" xfId="1" applyFont="1" applyFill="1"/>
    <xf numFmtId="164" fontId="12" fillId="4" borderId="0" xfId="1" applyFont="1" applyFill="1" applyBorder="1" applyAlignment="1">
      <alignment horizontal="left" vertical="center"/>
    </xf>
    <xf numFmtId="164" fontId="13" fillId="0" borderId="0" xfId="1" applyFont="1" applyFill="1" applyBorder="1" applyAlignment="1">
      <alignment horizontal="right" vertical="center"/>
    </xf>
    <xf numFmtId="164" fontId="6" fillId="3" borderId="0" xfId="1" applyFont="1" applyFill="1" applyBorder="1"/>
    <xf numFmtId="164" fontId="0" fillId="0" borderId="0" xfId="1" applyFont="1" applyFill="1"/>
    <xf numFmtId="164" fontId="6" fillId="0" borderId="0" xfId="1" applyFont="1" applyFill="1" applyAlignment="1">
      <alignment horizontal="right"/>
    </xf>
    <xf numFmtId="164" fontId="6" fillId="0" borderId="0" xfId="1" applyFont="1" applyFill="1" applyBorder="1"/>
    <xf numFmtId="164" fontId="6" fillId="3" borderId="8" xfId="1" applyFont="1" applyFill="1" applyBorder="1"/>
    <xf numFmtId="164" fontId="6" fillId="0" borderId="9" xfId="1" applyFont="1" applyBorder="1"/>
    <xf numFmtId="164" fontId="16" fillId="0" borderId="0" xfId="1" applyFont="1"/>
    <xf numFmtId="164" fontId="6" fillId="0" borderId="1" xfId="1" applyFont="1" applyBorder="1" applyAlignment="1">
      <alignment horizontal="center"/>
    </xf>
    <xf numFmtId="164" fontId="6" fillId="0" borderId="1" xfId="1" applyFont="1" applyBorder="1" applyAlignment="1">
      <alignment horizontal="left"/>
    </xf>
    <xf numFmtId="164" fontId="9" fillId="3" borderId="0" xfId="1" applyFont="1" applyFill="1"/>
    <xf numFmtId="164" fontId="6" fillId="0" borderId="0" xfId="1" applyFont="1" applyAlignment="1">
      <alignment horizontal="right" wrapText="1"/>
    </xf>
    <xf numFmtId="164" fontId="6" fillId="0" borderId="1" xfId="1" applyFont="1" applyBorder="1" applyAlignment="1">
      <alignment horizontal="right" wrapText="1"/>
    </xf>
    <xf numFmtId="164" fontId="4" fillId="2" borderId="6" xfId="1" applyFont="1" applyFill="1" applyBorder="1"/>
    <xf numFmtId="164" fontId="12" fillId="4" borderId="0" xfId="1" applyFont="1" applyFill="1" applyAlignment="1">
      <alignment horizontal="left" vertical="center"/>
    </xf>
    <xf numFmtId="164" fontId="13" fillId="0" borderId="0" xfId="1" applyFont="1" applyAlignment="1">
      <alignment horizontal="right" vertical="center"/>
    </xf>
    <xf numFmtId="164" fontId="18" fillId="6" borderId="0" xfId="1" applyFont="1" applyFill="1" applyAlignment="1">
      <alignment horizontal="right" vertical="center"/>
    </xf>
    <xf numFmtId="164" fontId="18" fillId="0" borderId="0" xfId="1" applyFont="1"/>
    <xf numFmtId="164" fontId="18" fillId="6" borderId="8" xfId="1" applyFont="1" applyFill="1" applyBorder="1" applyAlignment="1">
      <alignment horizontal="right" vertical="center"/>
    </xf>
    <xf numFmtId="164" fontId="18" fillId="6" borderId="0" xfId="1" applyFont="1" applyFill="1" applyBorder="1" applyAlignment="1">
      <alignment horizontal="right" vertical="center"/>
    </xf>
    <xf numFmtId="4" fontId="18" fillId="6" borderId="0" xfId="0" applyNumberFormat="1" applyFont="1" applyFill="1" applyAlignment="1">
      <alignment horizontal="right" vertical="center" wrapText="1"/>
    </xf>
    <xf numFmtId="0" fontId="18" fillId="6" borderId="0" xfId="0" applyFont="1" applyFill="1" applyAlignment="1">
      <alignment horizontal="right" vertical="center" wrapText="1"/>
    </xf>
    <xf numFmtId="164" fontId="18" fillId="6" borderId="0" xfId="1" applyFont="1" applyFill="1" applyAlignment="1">
      <alignment horizontal="justify" vertical="center"/>
    </xf>
    <xf numFmtId="4" fontId="18" fillId="6" borderId="8" xfId="0" applyNumberFormat="1" applyFont="1" applyFill="1" applyBorder="1" applyAlignment="1">
      <alignment horizontal="right" vertical="center" wrapText="1"/>
    </xf>
    <xf numFmtId="4" fontId="18" fillId="0" borderId="8" xfId="0" applyNumberFormat="1" applyFont="1" applyBorder="1" applyAlignment="1">
      <alignment horizontal="right" vertical="center"/>
    </xf>
    <xf numFmtId="4" fontId="16" fillId="0" borderId="0" xfId="0" applyNumberFormat="1" applyFont="1" applyAlignment="1">
      <alignment horizontal="right" vertical="center"/>
    </xf>
    <xf numFmtId="0" fontId="16" fillId="0" borderId="0" xfId="0" applyFont="1" applyAlignment="1">
      <alignment horizontal="justify" vertical="center"/>
    </xf>
    <xf numFmtId="4" fontId="16" fillId="0" borderId="0" xfId="0" applyNumberFormat="1" applyFont="1" applyAlignment="1">
      <alignment horizontal="right" vertical="center" wrapText="1"/>
    </xf>
    <xf numFmtId="164" fontId="7" fillId="0" borderId="0" xfId="1" applyFont="1"/>
    <xf numFmtId="164" fontId="17" fillId="0" borderId="0" xfId="1" applyFont="1"/>
    <xf numFmtId="164" fontId="7" fillId="5" borderId="0" xfId="1" applyFont="1" applyFill="1"/>
    <xf numFmtId="164" fontId="14" fillId="0" borderId="0" xfId="1" applyFont="1"/>
    <xf numFmtId="164" fontId="26" fillId="2" borderId="0" xfId="1" applyFont="1" applyFill="1"/>
    <xf numFmtId="164" fontId="26" fillId="2" borderId="0" xfId="1" applyFont="1" applyFill="1" applyAlignment="1">
      <alignment horizontal="center"/>
    </xf>
    <xf numFmtId="164" fontId="26" fillId="2" borderId="0" xfId="1" applyFont="1" applyFill="1" applyBorder="1"/>
    <xf numFmtId="164" fontId="27" fillId="2" borderId="0" xfId="1" applyFont="1" applyFill="1"/>
    <xf numFmtId="164" fontId="6" fillId="5" borderId="0" xfId="1" applyFont="1" applyFill="1" applyBorder="1"/>
    <xf numFmtId="4" fontId="28" fillId="0" borderId="7" xfId="0" applyNumberFormat="1" applyFont="1" applyBorder="1" applyAlignment="1">
      <alignment horizontal="right" vertical="center"/>
    </xf>
    <xf numFmtId="4" fontId="19" fillId="6" borderId="0" xfId="0" applyNumberFormat="1" applyFont="1" applyFill="1" applyAlignment="1">
      <alignment horizontal="right" vertical="center" wrapText="1"/>
    </xf>
    <xf numFmtId="4" fontId="19" fillId="6" borderId="8" xfId="0" applyNumberFormat="1" applyFont="1" applyFill="1" applyBorder="1" applyAlignment="1">
      <alignment horizontal="right" vertical="center" wrapText="1"/>
    </xf>
    <xf numFmtId="4" fontId="16" fillId="0" borderId="0" xfId="0" applyNumberFormat="1" applyFont="1"/>
    <xf numFmtId="168" fontId="3" fillId="5" borderId="0" xfId="2" applyFont="1" applyFill="1"/>
    <xf numFmtId="164" fontId="25" fillId="2" borderId="0" xfId="1" applyFont="1" applyFill="1" applyBorder="1"/>
    <xf numFmtId="164" fontId="10" fillId="0" borderId="0" xfId="1" applyFont="1" applyAlignment="1">
      <alignment wrapText="1"/>
    </xf>
    <xf numFmtId="0" fontId="23" fillId="0" borderId="0" xfId="0" applyFont="1"/>
    <xf numFmtId="0" fontId="24" fillId="2" borderId="4" xfId="0" applyFont="1" applyFill="1" applyBorder="1" applyAlignment="1">
      <alignment horizontal="center" vertical="center" wrapText="1"/>
    </xf>
    <xf numFmtId="0" fontId="24" fillId="2" borderId="3" xfId="0" applyFont="1" applyFill="1" applyBorder="1" applyAlignment="1">
      <alignment horizontal="center" vertical="center" wrapText="1"/>
    </xf>
    <xf numFmtId="0" fontId="23" fillId="2" borderId="1" xfId="0" applyFont="1" applyFill="1" applyBorder="1"/>
    <xf numFmtId="0" fontId="23" fillId="2" borderId="1" xfId="0" applyFont="1" applyFill="1" applyBorder="1" applyAlignment="1">
      <alignment horizontal="center"/>
    </xf>
    <xf numFmtId="164" fontId="23" fillId="2" borderId="1" xfId="1" applyFont="1" applyFill="1" applyBorder="1" applyAlignment="1">
      <alignment horizontal="center"/>
    </xf>
    <xf numFmtId="0" fontId="23" fillId="2" borderId="10" xfId="0" applyFont="1" applyFill="1" applyBorder="1"/>
    <xf numFmtId="0" fontId="23" fillId="2" borderId="10" xfId="0" applyFont="1" applyFill="1" applyBorder="1" applyAlignment="1">
      <alignment horizontal="center"/>
    </xf>
    <xf numFmtId="164" fontId="23" fillId="2" borderId="10" xfId="1" applyFont="1" applyFill="1" applyBorder="1" applyAlignment="1">
      <alignment horizontal="center"/>
    </xf>
    <xf numFmtId="0" fontId="23" fillId="2" borderId="0" xfId="0" applyFont="1" applyFill="1"/>
    <xf numFmtId="164" fontId="22" fillId="2" borderId="2" xfId="0" applyNumberFormat="1" applyFont="1" applyFill="1" applyBorder="1"/>
    <xf numFmtId="0" fontId="23" fillId="0" borderId="5" xfId="0" applyFont="1" applyBorder="1"/>
    <xf numFmtId="164" fontId="27" fillId="2" borderId="0" xfId="1" applyFont="1" applyFill="1" applyBorder="1"/>
    <xf numFmtId="164" fontId="0" fillId="0" borderId="6" xfId="1" applyFont="1" applyBorder="1"/>
    <xf numFmtId="0" fontId="22" fillId="0" borderId="0" xfId="0" applyFont="1" applyAlignment="1">
      <alignment horizontal="center"/>
    </xf>
    <xf numFmtId="164" fontId="11" fillId="0" borderId="0" xfId="1" applyFont="1" applyAlignment="1">
      <alignment horizontal="center"/>
    </xf>
    <xf numFmtId="164" fontId="6" fillId="0" borderId="5" xfId="1" applyFont="1" applyBorder="1" applyAlignment="1">
      <alignment horizontal="center"/>
    </xf>
    <xf numFmtId="164" fontId="26" fillId="2" borderId="0" xfId="1" applyFont="1" applyFill="1" applyAlignment="1">
      <alignment horizontal="center"/>
    </xf>
    <xf numFmtId="164" fontId="27" fillId="2" borderId="0" xfId="1" applyFont="1" applyFill="1" applyAlignment="1">
      <alignment horizontal="center"/>
    </xf>
    <xf numFmtId="0" fontId="22" fillId="0" borderId="0" xfId="0" applyFont="1" applyAlignment="1">
      <alignment horizontal="center"/>
    </xf>
    <xf numFmtId="0" fontId="24" fillId="2" borderId="0" xfId="0" applyFont="1" applyFill="1" applyAlignment="1">
      <alignment horizontal="center"/>
    </xf>
    <xf numFmtId="0" fontId="24" fillId="2" borderId="4" xfId="0" applyFont="1" applyFill="1" applyBorder="1" applyAlignment="1">
      <alignment horizontal="center" vertical="center"/>
    </xf>
    <xf numFmtId="0" fontId="24" fillId="2" borderId="3" xfId="0" applyFont="1" applyFill="1" applyBorder="1" applyAlignment="1">
      <alignment horizontal="center" vertical="center"/>
    </xf>
    <xf numFmtId="0" fontId="24" fillId="2" borderId="4" xfId="0" applyFont="1" applyFill="1" applyBorder="1" applyAlignment="1">
      <alignment horizontal="center" vertical="center" wrapText="1"/>
    </xf>
    <xf numFmtId="0" fontId="24" fillId="2" borderId="3" xfId="0" applyFont="1" applyFill="1" applyBorder="1" applyAlignment="1">
      <alignment horizontal="center" vertical="center" wrapText="1"/>
    </xf>
    <xf numFmtId="164" fontId="24" fillId="2" borderId="4" xfId="1" applyFont="1" applyFill="1" applyBorder="1" applyAlignment="1">
      <alignment horizontal="center" vertical="center"/>
    </xf>
    <xf numFmtId="164" fontId="24" fillId="2" borderId="3" xfId="1" applyFont="1" applyFill="1" applyBorder="1" applyAlignment="1">
      <alignment horizontal="center" vertical="center"/>
    </xf>
  </cellXfs>
  <cellStyles count="6">
    <cellStyle name="Millares" xfId="1" builtinId="3"/>
    <cellStyle name="Millares 2" xfId="2" xr:uid="{00000000-0005-0000-0000-000002000000}"/>
    <cellStyle name="Millares 3" xfId="4" xr:uid="{00000000-0005-0000-0000-000003000000}"/>
    <cellStyle name="Moneda 2" xfId="3" xr:uid="{00000000-0005-0000-0000-000004000000}"/>
    <cellStyle name="Normal" xfId="0" builtinId="0"/>
    <cellStyle name="Normal 3" xfId="5" xr:uid="{5587BBC8-64E1-4C8D-9551-6911B77F279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hyperlink" Target="https://www.youtube.com/c/fraynelson" TargetMode="External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4</xdr:row>
      <xdr:rowOff>0</xdr:rowOff>
    </xdr:from>
    <xdr:to>
      <xdr:col>1</xdr:col>
      <xdr:colOff>161925</xdr:colOff>
      <xdr:row>4</xdr:row>
      <xdr:rowOff>485774</xdr:rowOff>
    </xdr:to>
    <xdr:pic>
      <xdr:nvPicPr>
        <xdr:cNvPr id="2" name="3 Imagen" descr="C:\Users\Freddy\Desktop\Documentos Día de Campo\nuevo logo copy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866775"/>
          <a:ext cx="771525" cy="4857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152400</xdr:colOff>
      <xdr:row>4</xdr:row>
      <xdr:rowOff>0</xdr:rowOff>
    </xdr:from>
    <xdr:to>
      <xdr:col>1</xdr:col>
      <xdr:colOff>161925</xdr:colOff>
      <xdr:row>4</xdr:row>
      <xdr:rowOff>485774</xdr:rowOff>
    </xdr:to>
    <xdr:pic>
      <xdr:nvPicPr>
        <xdr:cNvPr id="5" name="3 Imagen" descr="C:\Users\Freddy\Desktop\Documentos Día de Campo\nuevo logo copy.jp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733425"/>
          <a:ext cx="771525" cy="4857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152400</xdr:colOff>
      <xdr:row>4</xdr:row>
      <xdr:rowOff>0</xdr:rowOff>
    </xdr:from>
    <xdr:to>
      <xdr:col>1</xdr:col>
      <xdr:colOff>161925</xdr:colOff>
      <xdr:row>4</xdr:row>
      <xdr:rowOff>190499</xdr:rowOff>
    </xdr:to>
    <xdr:pic>
      <xdr:nvPicPr>
        <xdr:cNvPr id="6" name="3 Imagen" descr="C:\Users\Freddy\Desktop\Documentos Día de Campo\nuevo logo copy.jp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733425"/>
          <a:ext cx="771525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1304925</xdr:colOff>
      <xdr:row>42</xdr:row>
      <xdr:rowOff>114300</xdr:rowOff>
    </xdr:from>
    <xdr:to>
      <xdr:col>3</xdr:col>
      <xdr:colOff>923925</xdr:colOff>
      <xdr:row>45</xdr:row>
      <xdr:rowOff>171450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51F69021-2FCA-442A-B800-8706B42EAB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066925" y="9372600"/>
          <a:ext cx="2676525" cy="6286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1352550</xdr:colOff>
      <xdr:row>3</xdr:row>
      <xdr:rowOff>171450</xdr:rowOff>
    </xdr:from>
    <xdr:to>
      <xdr:col>2</xdr:col>
      <xdr:colOff>581025</xdr:colOff>
      <xdr:row>6</xdr:row>
      <xdr:rowOff>114300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C01355C-32C1-476E-A570-9B1BC52FA3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52550" y="742950"/>
          <a:ext cx="2676525" cy="5143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457200</xdr:colOff>
      <xdr:row>2</xdr:row>
      <xdr:rowOff>76200</xdr:rowOff>
    </xdr:to>
    <xdr:pic>
      <xdr:nvPicPr>
        <xdr:cNvPr id="2" name="im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A681AAB-80AE-0520-A547-C2AD391793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8700" y="19907250"/>
          <a:ext cx="457200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Q207"/>
  <sheetViews>
    <sheetView topLeftCell="A44" workbookViewId="0">
      <selection activeCell="B43" sqref="B43:D55"/>
    </sheetView>
  </sheetViews>
  <sheetFormatPr baseColWidth="10" defaultRowHeight="15" x14ac:dyDescent="0.25"/>
  <cols>
    <col min="1" max="1" width="11.42578125" style="1" customWidth="1"/>
    <col min="2" max="2" width="24.85546875" style="1" customWidth="1"/>
    <col min="3" max="3" width="21" style="1" customWidth="1"/>
    <col min="4" max="4" width="31.28515625" style="1" customWidth="1"/>
    <col min="5" max="5" width="29.28515625" style="1" customWidth="1"/>
    <col min="6" max="6" width="28.42578125" style="1" customWidth="1"/>
    <col min="7" max="7" width="29.42578125" style="1" customWidth="1"/>
    <col min="8" max="8" width="22.7109375" style="1" customWidth="1"/>
    <col min="9" max="9" width="18.85546875" style="1" customWidth="1"/>
    <col min="10" max="10" width="20.140625" style="1" customWidth="1"/>
    <col min="11" max="11" width="17" style="1" customWidth="1"/>
    <col min="12" max="12" width="16.28515625" style="1" customWidth="1"/>
    <col min="13" max="13" width="12.7109375" style="1" bestFit="1" customWidth="1"/>
    <col min="14" max="256" width="11.42578125" style="1"/>
    <col min="257" max="257" width="11.42578125" style="1" customWidth="1"/>
    <col min="258" max="258" width="14.42578125" style="1" customWidth="1"/>
    <col min="259" max="259" width="14" style="1" customWidth="1"/>
    <col min="260" max="260" width="17.140625" style="1" customWidth="1"/>
    <col min="261" max="261" width="18.140625" style="1" customWidth="1"/>
    <col min="262" max="262" width="16.5703125" style="1" customWidth="1"/>
    <col min="263" max="265" width="18.85546875" style="1" customWidth="1"/>
    <col min="266" max="266" width="20.140625" style="1" customWidth="1"/>
    <col min="267" max="267" width="17" style="1" customWidth="1"/>
    <col min="268" max="268" width="16.28515625" style="1" customWidth="1"/>
    <col min="269" max="269" width="12.7109375" style="1" bestFit="1" customWidth="1"/>
    <col min="270" max="512" width="11.42578125" style="1"/>
    <col min="513" max="513" width="11.42578125" style="1" customWidth="1"/>
    <col min="514" max="514" width="14.42578125" style="1" customWidth="1"/>
    <col min="515" max="515" width="14" style="1" customWidth="1"/>
    <col min="516" max="516" width="17.140625" style="1" customWidth="1"/>
    <col min="517" max="517" width="18.140625" style="1" customWidth="1"/>
    <col min="518" max="518" width="16.5703125" style="1" customWidth="1"/>
    <col min="519" max="521" width="18.85546875" style="1" customWidth="1"/>
    <col min="522" max="522" width="20.140625" style="1" customWidth="1"/>
    <col min="523" max="523" width="17" style="1" customWidth="1"/>
    <col min="524" max="524" width="16.28515625" style="1" customWidth="1"/>
    <col min="525" max="525" width="12.7109375" style="1" bestFit="1" customWidth="1"/>
    <col min="526" max="768" width="11.42578125" style="1"/>
    <col min="769" max="769" width="11.42578125" style="1" customWidth="1"/>
    <col min="770" max="770" width="14.42578125" style="1" customWidth="1"/>
    <col min="771" max="771" width="14" style="1" customWidth="1"/>
    <col min="772" max="772" width="17.140625" style="1" customWidth="1"/>
    <col min="773" max="773" width="18.140625" style="1" customWidth="1"/>
    <col min="774" max="774" width="16.5703125" style="1" customWidth="1"/>
    <col min="775" max="777" width="18.85546875" style="1" customWidth="1"/>
    <col min="778" max="778" width="20.140625" style="1" customWidth="1"/>
    <col min="779" max="779" width="17" style="1" customWidth="1"/>
    <col min="780" max="780" width="16.28515625" style="1" customWidth="1"/>
    <col min="781" max="781" width="12.7109375" style="1" bestFit="1" customWidth="1"/>
    <col min="782" max="1024" width="11.42578125" style="1"/>
    <col min="1025" max="1025" width="11.42578125" style="1" customWidth="1"/>
    <col min="1026" max="1026" width="14.42578125" style="1" customWidth="1"/>
    <col min="1027" max="1027" width="14" style="1" customWidth="1"/>
    <col min="1028" max="1028" width="17.140625" style="1" customWidth="1"/>
    <col min="1029" max="1029" width="18.140625" style="1" customWidth="1"/>
    <col min="1030" max="1030" width="16.5703125" style="1" customWidth="1"/>
    <col min="1031" max="1033" width="18.85546875" style="1" customWidth="1"/>
    <col min="1034" max="1034" width="20.140625" style="1" customWidth="1"/>
    <col min="1035" max="1035" width="17" style="1" customWidth="1"/>
    <col min="1036" max="1036" width="16.28515625" style="1" customWidth="1"/>
    <col min="1037" max="1037" width="12.7109375" style="1" bestFit="1" customWidth="1"/>
    <col min="1038" max="1280" width="11.42578125" style="1"/>
    <col min="1281" max="1281" width="11.42578125" style="1" customWidth="1"/>
    <col min="1282" max="1282" width="14.42578125" style="1" customWidth="1"/>
    <col min="1283" max="1283" width="14" style="1" customWidth="1"/>
    <col min="1284" max="1284" width="17.140625" style="1" customWidth="1"/>
    <col min="1285" max="1285" width="18.140625" style="1" customWidth="1"/>
    <col min="1286" max="1286" width="16.5703125" style="1" customWidth="1"/>
    <col min="1287" max="1289" width="18.85546875" style="1" customWidth="1"/>
    <col min="1290" max="1290" width="20.140625" style="1" customWidth="1"/>
    <col min="1291" max="1291" width="17" style="1" customWidth="1"/>
    <col min="1292" max="1292" width="16.28515625" style="1" customWidth="1"/>
    <col min="1293" max="1293" width="12.7109375" style="1" bestFit="1" customWidth="1"/>
    <col min="1294" max="1536" width="11.42578125" style="1"/>
    <col min="1537" max="1537" width="11.42578125" style="1" customWidth="1"/>
    <col min="1538" max="1538" width="14.42578125" style="1" customWidth="1"/>
    <col min="1539" max="1539" width="14" style="1" customWidth="1"/>
    <col min="1540" max="1540" width="17.140625" style="1" customWidth="1"/>
    <col min="1541" max="1541" width="18.140625" style="1" customWidth="1"/>
    <col min="1542" max="1542" width="16.5703125" style="1" customWidth="1"/>
    <col min="1543" max="1545" width="18.85546875" style="1" customWidth="1"/>
    <col min="1546" max="1546" width="20.140625" style="1" customWidth="1"/>
    <col min="1547" max="1547" width="17" style="1" customWidth="1"/>
    <col min="1548" max="1548" width="16.28515625" style="1" customWidth="1"/>
    <col min="1549" max="1549" width="12.7109375" style="1" bestFit="1" customWidth="1"/>
    <col min="1550" max="1792" width="11.42578125" style="1"/>
    <col min="1793" max="1793" width="11.42578125" style="1" customWidth="1"/>
    <col min="1794" max="1794" width="14.42578125" style="1" customWidth="1"/>
    <col min="1795" max="1795" width="14" style="1" customWidth="1"/>
    <col min="1796" max="1796" width="17.140625" style="1" customWidth="1"/>
    <col min="1797" max="1797" width="18.140625" style="1" customWidth="1"/>
    <col min="1798" max="1798" width="16.5703125" style="1" customWidth="1"/>
    <col min="1799" max="1801" width="18.85546875" style="1" customWidth="1"/>
    <col min="1802" max="1802" width="20.140625" style="1" customWidth="1"/>
    <col min="1803" max="1803" width="17" style="1" customWidth="1"/>
    <col min="1804" max="1804" width="16.28515625" style="1" customWidth="1"/>
    <col min="1805" max="1805" width="12.7109375" style="1" bestFit="1" customWidth="1"/>
    <col min="1806" max="2048" width="11.42578125" style="1"/>
    <col min="2049" max="2049" width="11.42578125" style="1" customWidth="1"/>
    <col min="2050" max="2050" width="14.42578125" style="1" customWidth="1"/>
    <col min="2051" max="2051" width="14" style="1" customWidth="1"/>
    <col min="2052" max="2052" width="17.140625" style="1" customWidth="1"/>
    <col min="2053" max="2053" width="18.140625" style="1" customWidth="1"/>
    <col min="2054" max="2054" width="16.5703125" style="1" customWidth="1"/>
    <col min="2055" max="2057" width="18.85546875" style="1" customWidth="1"/>
    <col min="2058" max="2058" width="20.140625" style="1" customWidth="1"/>
    <col min="2059" max="2059" width="17" style="1" customWidth="1"/>
    <col min="2060" max="2060" width="16.28515625" style="1" customWidth="1"/>
    <col min="2061" max="2061" width="12.7109375" style="1" bestFit="1" customWidth="1"/>
    <col min="2062" max="2304" width="11.42578125" style="1"/>
    <col min="2305" max="2305" width="11.42578125" style="1" customWidth="1"/>
    <col min="2306" max="2306" width="14.42578125" style="1" customWidth="1"/>
    <col min="2307" max="2307" width="14" style="1" customWidth="1"/>
    <col min="2308" max="2308" width="17.140625" style="1" customWidth="1"/>
    <col min="2309" max="2309" width="18.140625" style="1" customWidth="1"/>
    <col min="2310" max="2310" width="16.5703125" style="1" customWidth="1"/>
    <col min="2311" max="2313" width="18.85546875" style="1" customWidth="1"/>
    <col min="2314" max="2314" width="20.140625" style="1" customWidth="1"/>
    <col min="2315" max="2315" width="17" style="1" customWidth="1"/>
    <col min="2316" max="2316" width="16.28515625" style="1" customWidth="1"/>
    <col min="2317" max="2317" width="12.7109375" style="1" bestFit="1" customWidth="1"/>
    <col min="2318" max="2560" width="11.42578125" style="1"/>
    <col min="2561" max="2561" width="11.42578125" style="1" customWidth="1"/>
    <col min="2562" max="2562" width="14.42578125" style="1" customWidth="1"/>
    <col min="2563" max="2563" width="14" style="1" customWidth="1"/>
    <col min="2564" max="2564" width="17.140625" style="1" customWidth="1"/>
    <col min="2565" max="2565" width="18.140625" style="1" customWidth="1"/>
    <col min="2566" max="2566" width="16.5703125" style="1" customWidth="1"/>
    <col min="2567" max="2569" width="18.85546875" style="1" customWidth="1"/>
    <col min="2570" max="2570" width="20.140625" style="1" customWidth="1"/>
    <col min="2571" max="2571" width="17" style="1" customWidth="1"/>
    <col min="2572" max="2572" width="16.28515625" style="1" customWidth="1"/>
    <col min="2573" max="2573" width="12.7109375" style="1" bestFit="1" customWidth="1"/>
    <col min="2574" max="2816" width="11.42578125" style="1"/>
    <col min="2817" max="2817" width="11.42578125" style="1" customWidth="1"/>
    <col min="2818" max="2818" width="14.42578125" style="1" customWidth="1"/>
    <col min="2819" max="2819" width="14" style="1" customWidth="1"/>
    <col min="2820" max="2820" width="17.140625" style="1" customWidth="1"/>
    <col min="2821" max="2821" width="18.140625" style="1" customWidth="1"/>
    <col min="2822" max="2822" width="16.5703125" style="1" customWidth="1"/>
    <col min="2823" max="2825" width="18.85546875" style="1" customWidth="1"/>
    <col min="2826" max="2826" width="20.140625" style="1" customWidth="1"/>
    <col min="2827" max="2827" width="17" style="1" customWidth="1"/>
    <col min="2828" max="2828" width="16.28515625" style="1" customWidth="1"/>
    <col min="2829" max="2829" width="12.7109375" style="1" bestFit="1" customWidth="1"/>
    <col min="2830" max="3072" width="11.42578125" style="1"/>
    <col min="3073" max="3073" width="11.42578125" style="1" customWidth="1"/>
    <col min="3074" max="3074" width="14.42578125" style="1" customWidth="1"/>
    <col min="3075" max="3075" width="14" style="1" customWidth="1"/>
    <col min="3076" max="3076" width="17.140625" style="1" customWidth="1"/>
    <col min="3077" max="3077" width="18.140625" style="1" customWidth="1"/>
    <col min="3078" max="3078" width="16.5703125" style="1" customWidth="1"/>
    <col min="3079" max="3081" width="18.85546875" style="1" customWidth="1"/>
    <col min="3082" max="3082" width="20.140625" style="1" customWidth="1"/>
    <col min="3083" max="3083" width="17" style="1" customWidth="1"/>
    <col min="3084" max="3084" width="16.28515625" style="1" customWidth="1"/>
    <col min="3085" max="3085" width="12.7109375" style="1" bestFit="1" customWidth="1"/>
    <col min="3086" max="3328" width="11.42578125" style="1"/>
    <col min="3329" max="3329" width="11.42578125" style="1" customWidth="1"/>
    <col min="3330" max="3330" width="14.42578125" style="1" customWidth="1"/>
    <col min="3331" max="3331" width="14" style="1" customWidth="1"/>
    <col min="3332" max="3332" width="17.140625" style="1" customWidth="1"/>
    <col min="3333" max="3333" width="18.140625" style="1" customWidth="1"/>
    <col min="3334" max="3334" width="16.5703125" style="1" customWidth="1"/>
    <col min="3335" max="3337" width="18.85546875" style="1" customWidth="1"/>
    <col min="3338" max="3338" width="20.140625" style="1" customWidth="1"/>
    <col min="3339" max="3339" width="17" style="1" customWidth="1"/>
    <col min="3340" max="3340" width="16.28515625" style="1" customWidth="1"/>
    <col min="3341" max="3341" width="12.7109375" style="1" bestFit="1" customWidth="1"/>
    <col min="3342" max="3584" width="11.42578125" style="1"/>
    <col min="3585" max="3585" width="11.42578125" style="1" customWidth="1"/>
    <col min="3586" max="3586" width="14.42578125" style="1" customWidth="1"/>
    <col min="3587" max="3587" width="14" style="1" customWidth="1"/>
    <col min="3588" max="3588" width="17.140625" style="1" customWidth="1"/>
    <col min="3589" max="3589" width="18.140625" style="1" customWidth="1"/>
    <col min="3590" max="3590" width="16.5703125" style="1" customWidth="1"/>
    <col min="3591" max="3593" width="18.85546875" style="1" customWidth="1"/>
    <col min="3594" max="3594" width="20.140625" style="1" customWidth="1"/>
    <col min="3595" max="3595" width="17" style="1" customWidth="1"/>
    <col min="3596" max="3596" width="16.28515625" style="1" customWidth="1"/>
    <col min="3597" max="3597" width="12.7109375" style="1" bestFit="1" customWidth="1"/>
    <col min="3598" max="3840" width="11.42578125" style="1"/>
    <col min="3841" max="3841" width="11.42578125" style="1" customWidth="1"/>
    <col min="3842" max="3842" width="14.42578125" style="1" customWidth="1"/>
    <col min="3843" max="3843" width="14" style="1" customWidth="1"/>
    <col min="3844" max="3844" width="17.140625" style="1" customWidth="1"/>
    <col min="3845" max="3845" width="18.140625" style="1" customWidth="1"/>
    <col min="3846" max="3846" width="16.5703125" style="1" customWidth="1"/>
    <col min="3847" max="3849" width="18.85546875" style="1" customWidth="1"/>
    <col min="3850" max="3850" width="20.140625" style="1" customWidth="1"/>
    <col min="3851" max="3851" width="17" style="1" customWidth="1"/>
    <col min="3852" max="3852" width="16.28515625" style="1" customWidth="1"/>
    <col min="3853" max="3853" width="12.7109375" style="1" bestFit="1" customWidth="1"/>
    <col min="3854" max="4096" width="11.42578125" style="1"/>
    <col min="4097" max="4097" width="11.42578125" style="1" customWidth="1"/>
    <col min="4098" max="4098" width="14.42578125" style="1" customWidth="1"/>
    <col min="4099" max="4099" width="14" style="1" customWidth="1"/>
    <col min="4100" max="4100" width="17.140625" style="1" customWidth="1"/>
    <col min="4101" max="4101" width="18.140625" style="1" customWidth="1"/>
    <col min="4102" max="4102" width="16.5703125" style="1" customWidth="1"/>
    <col min="4103" max="4105" width="18.85546875" style="1" customWidth="1"/>
    <col min="4106" max="4106" width="20.140625" style="1" customWidth="1"/>
    <col min="4107" max="4107" width="17" style="1" customWidth="1"/>
    <col min="4108" max="4108" width="16.28515625" style="1" customWidth="1"/>
    <col min="4109" max="4109" width="12.7109375" style="1" bestFit="1" customWidth="1"/>
    <col min="4110" max="4352" width="11.42578125" style="1"/>
    <col min="4353" max="4353" width="11.42578125" style="1" customWidth="1"/>
    <col min="4354" max="4354" width="14.42578125" style="1" customWidth="1"/>
    <col min="4355" max="4355" width="14" style="1" customWidth="1"/>
    <col min="4356" max="4356" width="17.140625" style="1" customWidth="1"/>
    <col min="4357" max="4357" width="18.140625" style="1" customWidth="1"/>
    <col min="4358" max="4358" width="16.5703125" style="1" customWidth="1"/>
    <col min="4359" max="4361" width="18.85546875" style="1" customWidth="1"/>
    <col min="4362" max="4362" width="20.140625" style="1" customWidth="1"/>
    <col min="4363" max="4363" width="17" style="1" customWidth="1"/>
    <col min="4364" max="4364" width="16.28515625" style="1" customWidth="1"/>
    <col min="4365" max="4365" width="12.7109375" style="1" bestFit="1" customWidth="1"/>
    <col min="4366" max="4608" width="11.42578125" style="1"/>
    <col min="4609" max="4609" width="11.42578125" style="1" customWidth="1"/>
    <col min="4610" max="4610" width="14.42578125" style="1" customWidth="1"/>
    <col min="4611" max="4611" width="14" style="1" customWidth="1"/>
    <col min="4612" max="4612" width="17.140625" style="1" customWidth="1"/>
    <col min="4613" max="4613" width="18.140625" style="1" customWidth="1"/>
    <col min="4614" max="4614" width="16.5703125" style="1" customWidth="1"/>
    <col min="4615" max="4617" width="18.85546875" style="1" customWidth="1"/>
    <col min="4618" max="4618" width="20.140625" style="1" customWidth="1"/>
    <col min="4619" max="4619" width="17" style="1" customWidth="1"/>
    <col min="4620" max="4620" width="16.28515625" style="1" customWidth="1"/>
    <col min="4621" max="4621" width="12.7109375" style="1" bestFit="1" customWidth="1"/>
    <col min="4622" max="4864" width="11.42578125" style="1"/>
    <col min="4865" max="4865" width="11.42578125" style="1" customWidth="1"/>
    <col min="4866" max="4866" width="14.42578125" style="1" customWidth="1"/>
    <col min="4867" max="4867" width="14" style="1" customWidth="1"/>
    <col min="4868" max="4868" width="17.140625" style="1" customWidth="1"/>
    <col min="4869" max="4869" width="18.140625" style="1" customWidth="1"/>
    <col min="4870" max="4870" width="16.5703125" style="1" customWidth="1"/>
    <col min="4871" max="4873" width="18.85546875" style="1" customWidth="1"/>
    <col min="4874" max="4874" width="20.140625" style="1" customWidth="1"/>
    <col min="4875" max="4875" width="17" style="1" customWidth="1"/>
    <col min="4876" max="4876" width="16.28515625" style="1" customWidth="1"/>
    <col min="4877" max="4877" width="12.7109375" style="1" bestFit="1" customWidth="1"/>
    <col min="4878" max="5120" width="11.42578125" style="1"/>
    <col min="5121" max="5121" width="11.42578125" style="1" customWidth="1"/>
    <col min="5122" max="5122" width="14.42578125" style="1" customWidth="1"/>
    <col min="5123" max="5123" width="14" style="1" customWidth="1"/>
    <col min="5124" max="5124" width="17.140625" style="1" customWidth="1"/>
    <col min="5125" max="5125" width="18.140625" style="1" customWidth="1"/>
    <col min="5126" max="5126" width="16.5703125" style="1" customWidth="1"/>
    <col min="5127" max="5129" width="18.85546875" style="1" customWidth="1"/>
    <col min="5130" max="5130" width="20.140625" style="1" customWidth="1"/>
    <col min="5131" max="5131" width="17" style="1" customWidth="1"/>
    <col min="5132" max="5132" width="16.28515625" style="1" customWidth="1"/>
    <col min="5133" max="5133" width="12.7109375" style="1" bestFit="1" customWidth="1"/>
    <col min="5134" max="5376" width="11.42578125" style="1"/>
    <col min="5377" max="5377" width="11.42578125" style="1" customWidth="1"/>
    <col min="5378" max="5378" width="14.42578125" style="1" customWidth="1"/>
    <col min="5379" max="5379" width="14" style="1" customWidth="1"/>
    <col min="5380" max="5380" width="17.140625" style="1" customWidth="1"/>
    <col min="5381" max="5381" width="18.140625" style="1" customWidth="1"/>
    <col min="5382" max="5382" width="16.5703125" style="1" customWidth="1"/>
    <col min="5383" max="5385" width="18.85546875" style="1" customWidth="1"/>
    <col min="5386" max="5386" width="20.140625" style="1" customWidth="1"/>
    <col min="5387" max="5387" width="17" style="1" customWidth="1"/>
    <col min="5388" max="5388" width="16.28515625" style="1" customWidth="1"/>
    <col min="5389" max="5389" width="12.7109375" style="1" bestFit="1" customWidth="1"/>
    <col min="5390" max="5632" width="11.42578125" style="1"/>
    <col min="5633" max="5633" width="11.42578125" style="1" customWidth="1"/>
    <col min="5634" max="5634" width="14.42578125" style="1" customWidth="1"/>
    <col min="5635" max="5635" width="14" style="1" customWidth="1"/>
    <col min="5636" max="5636" width="17.140625" style="1" customWidth="1"/>
    <col min="5637" max="5637" width="18.140625" style="1" customWidth="1"/>
    <col min="5638" max="5638" width="16.5703125" style="1" customWidth="1"/>
    <col min="5639" max="5641" width="18.85546875" style="1" customWidth="1"/>
    <col min="5642" max="5642" width="20.140625" style="1" customWidth="1"/>
    <col min="5643" max="5643" width="17" style="1" customWidth="1"/>
    <col min="5644" max="5644" width="16.28515625" style="1" customWidth="1"/>
    <col min="5645" max="5645" width="12.7109375" style="1" bestFit="1" customWidth="1"/>
    <col min="5646" max="5888" width="11.42578125" style="1"/>
    <col min="5889" max="5889" width="11.42578125" style="1" customWidth="1"/>
    <col min="5890" max="5890" width="14.42578125" style="1" customWidth="1"/>
    <col min="5891" max="5891" width="14" style="1" customWidth="1"/>
    <col min="5892" max="5892" width="17.140625" style="1" customWidth="1"/>
    <col min="5893" max="5893" width="18.140625" style="1" customWidth="1"/>
    <col min="5894" max="5894" width="16.5703125" style="1" customWidth="1"/>
    <col min="5895" max="5897" width="18.85546875" style="1" customWidth="1"/>
    <col min="5898" max="5898" width="20.140625" style="1" customWidth="1"/>
    <col min="5899" max="5899" width="17" style="1" customWidth="1"/>
    <col min="5900" max="5900" width="16.28515625" style="1" customWidth="1"/>
    <col min="5901" max="5901" width="12.7109375" style="1" bestFit="1" customWidth="1"/>
    <col min="5902" max="6144" width="11.42578125" style="1"/>
    <col min="6145" max="6145" width="11.42578125" style="1" customWidth="1"/>
    <col min="6146" max="6146" width="14.42578125" style="1" customWidth="1"/>
    <col min="6147" max="6147" width="14" style="1" customWidth="1"/>
    <col min="6148" max="6148" width="17.140625" style="1" customWidth="1"/>
    <col min="6149" max="6149" width="18.140625" style="1" customWidth="1"/>
    <col min="6150" max="6150" width="16.5703125" style="1" customWidth="1"/>
    <col min="6151" max="6153" width="18.85546875" style="1" customWidth="1"/>
    <col min="6154" max="6154" width="20.140625" style="1" customWidth="1"/>
    <col min="6155" max="6155" width="17" style="1" customWidth="1"/>
    <col min="6156" max="6156" width="16.28515625" style="1" customWidth="1"/>
    <col min="6157" max="6157" width="12.7109375" style="1" bestFit="1" customWidth="1"/>
    <col min="6158" max="6400" width="11.42578125" style="1"/>
    <col min="6401" max="6401" width="11.42578125" style="1" customWidth="1"/>
    <col min="6402" max="6402" width="14.42578125" style="1" customWidth="1"/>
    <col min="6403" max="6403" width="14" style="1" customWidth="1"/>
    <col min="6404" max="6404" width="17.140625" style="1" customWidth="1"/>
    <col min="6405" max="6405" width="18.140625" style="1" customWidth="1"/>
    <col min="6406" max="6406" width="16.5703125" style="1" customWidth="1"/>
    <col min="6407" max="6409" width="18.85546875" style="1" customWidth="1"/>
    <col min="6410" max="6410" width="20.140625" style="1" customWidth="1"/>
    <col min="6411" max="6411" width="17" style="1" customWidth="1"/>
    <col min="6412" max="6412" width="16.28515625" style="1" customWidth="1"/>
    <col min="6413" max="6413" width="12.7109375" style="1" bestFit="1" customWidth="1"/>
    <col min="6414" max="6656" width="11.42578125" style="1"/>
    <col min="6657" max="6657" width="11.42578125" style="1" customWidth="1"/>
    <col min="6658" max="6658" width="14.42578125" style="1" customWidth="1"/>
    <col min="6659" max="6659" width="14" style="1" customWidth="1"/>
    <col min="6660" max="6660" width="17.140625" style="1" customWidth="1"/>
    <col min="6661" max="6661" width="18.140625" style="1" customWidth="1"/>
    <col min="6662" max="6662" width="16.5703125" style="1" customWidth="1"/>
    <col min="6663" max="6665" width="18.85546875" style="1" customWidth="1"/>
    <col min="6666" max="6666" width="20.140625" style="1" customWidth="1"/>
    <col min="6667" max="6667" width="17" style="1" customWidth="1"/>
    <col min="6668" max="6668" width="16.28515625" style="1" customWidth="1"/>
    <col min="6669" max="6669" width="12.7109375" style="1" bestFit="1" customWidth="1"/>
    <col min="6670" max="6912" width="11.42578125" style="1"/>
    <col min="6913" max="6913" width="11.42578125" style="1" customWidth="1"/>
    <col min="6914" max="6914" width="14.42578125" style="1" customWidth="1"/>
    <col min="6915" max="6915" width="14" style="1" customWidth="1"/>
    <col min="6916" max="6916" width="17.140625" style="1" customWidth="1"/>
    <col min="6917" max="6917" width="18.140625" style="1" customWidth="1"/>
    <col min="6918" max="6918" width="16.5703125" style="1" customWidth="1"/>
    <col min="6919" max="6921" width="18.85546875" style="1" customWidth="1"/>
    <col min="6922" max="6922" width="20.140625" style="1" customWidth="1"/>
    <col min="6923" max="6923" width="17" style="1" customWidth="1"/>
    <col min="6924" max="6924" width="16.28515625" style="1" customWidth="1"/>
    <col min="6925" max="6925" width="12.7109375" style="1" bestFit="1" customWidth="1"/>
    <col min="6926" max="7168" width="11.42578125" style="1"/>
    <col min="7169" max="7169" width="11.42578125" style="1" customWidth="1"/>
    <col min="7170" max="7170" width="14.42578125" style="1" customWidth="1"/>
    <col min="7171" max="7171" width="14" style="1" customWidth="1"/>
    <col min="7172" max="7172" width="17.140625" style="1" customWidth="1"/>
    <col min="7173" max="7173" width="18.140625" style="1" customWidth="1"/>
    <col min="7174" max="7174" width="16.5703125" style="1" customWidth="1"/>
    <col min="7175" max="7177" width="18.85546875" style="1" customWidth="1"/>
    <col min="7178" max="7178" width="20.140625" style="1" customWidth="1"/>
    <col min="7179" max="7179" width="17" style="1" customWidth="1"/>
    <col min="7180" max="7180" width="16.28515625" style="1" customWidth="1"/>
    <col min="7181" max="7181" width="12.7109375" style="1" bestFit="1" customWidth="1"/>
    <col min="7182" max="7424" width="11.42578125" style="1"/>
    <col min="7425" max="7425" width="11.42578125" style="1" customWidth="1"/>
    <col min="7426" max="7426" width="14.42578125" style="1" customWidth="1"/>
    <col min="7427" max="7427" width="14" style="1" customWidth="1"/>
    <col min="7428" max="7428" width="17.140625" style="1" customWidth="1"/>
    <col min="7429" max="7429" width="18.140625" style="1" customWidth="1"/>
    <col min="7430" max="7430" width="16.5703125" style="1" customWidth="1"/>
    <col min="7431" max="7433" width="18.85546875" style="1" customWidth="1"/>
    <col min="7434" max="7434" width="20.140625" style="1" customWidth="1"/>
    <col min="7435" max="7435" width="17" style="1" customWidth="1"/>
    <col min="7436" max="7436" width="16.28515625" style="1" customWidth="1"/>
    <col min="7437" max="7437" width="12.7109375" style="1" bestFit="1" customWidth="1"/>
    <col min="7438" max="7680" width="11.42578125" style="1"/>
    <col min="7681" max="7681" width="11.42578125" style="1" customWidth="1"/>
    <col min="7682" max="7682" width="14.42578125" style="1" customWidth="1"/>
    <col min="7683" max="7683" width="14" style="1" customWidth="1"/>
    <col min="7684" max="7684" width="17.140625" style="1" customWidth="1"/>
    <col min="7685" max="7685" width="18.140625" style="1" customWidth="1"/>
    <col min="7686" max="7686" width="16.5703125" style="1" customWidth="1"/>
    <col min="7687" max="7689" width="18.85546875" style="1" customWidth="1"/>
    <col min="7690" max="7690" width="20.140625" style="1" customWidth="1"/>
    <col min="7691" max="7691" width="17" style="1" customWidth="1"/>
    <col min="7692" max="7692" width="16.28515625" style="1" customWidth="1"/>
    <col min="7693" max="7693" width="12.7109375" style="1" bestFit="1" customWidth="1"/>
    <col min="7694" max="7936" width="11.42578125" style="1"/>
    <col min="7937" max="7937" width="11.42578125" style="1" customWidth="1"/>
    <col min="7938" max="7938" width="14.42578125" style="1" customWidth="1"/>
    <col min="7939" max="7939" width="14" style="1" customWidth="1"/>
    <col min="7940" max="7940" width="17.140625" style="1" customWidth="1"/>
    <col min="7941" max="7941" width="18.140625" style="1" customWidth="1"/>
    <col min="7942" max="7942" width="16.5703125" style="1" customWidth="1"/>
    <col min="7943" max="7945" width="18.85546875" style="1" customWidth="1"/>
    <col min="7946" max="7946" width="20.140625" style="1" customWidth="1"/>
    <col min="7947" max="7947" width="17" style="1" customWidth="1"/>
    <col min="7948" max="7948" width="16.28515625" style="1" customWidth="1"/>
    <col min="7949" max="7949" width="12.7109375" style="1" bestFit="1" customWidth="1"/>
    <col min="7950" max="8192" width="11.42578125" style="1"/>
    <col min="8193" max="8193" width="11.42578125" style="1" customWidth="1"/>
    <col min="8194" max="8194" width="14.42578125" style="1" customWidth="1"/>
    <col min="8195" max="8195" width="14" style="1" customWidth="1"/>
    <col min="8196" max="8196" width="17.140625" style="1" customWidth="1"/>
    <col min="8197" max="8197" width="18.140625" style="1" customWidth="1"/>
    <col min="8198" max="8198" width="16.5703125" style="1" customWidth="1"/>
    <col min="8199" max="8201" width="18.85546875" style="1" customWidth="1"/>
    <col min="8202" max="8202" width="20.140625" style="1" customWidth="1"/>
    <col min="8203" max="8203" width="17" style="1" customWidth="1"/>
    <col min="8204" max="8204" width="16.28515625" style="1" customWidth="1"/>
    <col min="8205" max="8205" width="12.7109375" style="1" bestFit="1" customWidth="1"/>
    <col min="8206" max="8448" width="11.42578125" style="1"/>
    <col min="8449" max="8449" width="11.42578125" style="1" customWidth="1"/>
    <col min="8450" max="8450" width="14.42578125" style="1" customWidth="1"/>
    <col min="8451" max="8451" width="14" style="1" customWidth="1"/>
    <col min="8452" max="8452" width="17.140625" style="1" customWidth="1"/>
    <col min="8453" max="8453" width="18.140625" style="1" customWidth="1"/>
    <col min="8454" max="8454" width="16.5703125" style="1" customWidth="1"/>
    <col min="8455" max="8457" width="18.85546875" style="1" customWidth="1"/>
    <col min="8458" max="8458" width="20.140625" style="1" customWidth="1"/>
    <col min="8459" max="8459" width="17" style="1" customWidth="1"/>
    <col min="8460" max="8460" width="16.28515625" style="1" customWidth="1"/>
    <col min="8461" max="8461" width="12.7109375" style="1" bestFit="1" customWidth="1"/>
    <col min="8462" max="8704" width="11.42578125" style="1"/>
    <col min="8705" max="8705" width="11.42578125" style="1" customWidth="1"/>
    <col min="8706" max="8706" width="14.42578125" style="1" customWidth="1"/>
    <col min="8707" max="8707" width="14" style="1" customWidth="1"/>
    <col min="8708" max="8708" width="17.140625" style="1" customWidth="1"/>
    <col min="8709" max="8709" width="18.140625" style="1" customWidth="1"/>
    <col min="8710" max="8710" width="16.5703125" style="1" customWidth="1"/>
    <col min="8711" max="8713" width="18.85546875" style="1" customWidth="1"/>
    <col min="8714" max="8714" width="20.140625" style="1" customWidth="1"/>
    <col min="8715" max="8715" width="17" style="1" customWidth="1"/>
    <col min="8716" max="8716" width="16.28515625" style="1" customWidth="1"/>
    <col min="8717" max="8717" width="12.7109375" style="1" bestFit="1" customWidth="1"/>
    <col min="8718" max="8960" width="11.42578125" style="1"/>
    <col min="8961" max="8961" width="11.42578125" style="1" customWidth="1"/>
    <col min="8962" max="8962" width="14.42578125" style="1" customWidth="1"/>
    <col min="8963" max="8963" width="14" style="1" customWidth="1"/>
    <col min="8964" max="8964" width="17.140625" style="1" customWidth="1"/>
    <col min="8965" max="8965" width="18.140625" style="1" customWidth="1"/>
    <col min="8966" max="8966" width="16.5703125" style="1" customWidth="1"/>
    <col min="8967" max="8969" width="18.85546875" style="1" customWidth="1"/>
    <col min="8970" max="8970" width="20.140625" style="1" customWidth="1"/>
    <col min="8971" max="8971" width="17" style="1" customWidth="1"/>
    <col min="8972" max="8972" width="16.28515625" style="1" customWidth="1"/>
    <col min="8973" max="8973" width="12.7109375" style="1" bestFit="1" customWidth="1"/>
    <col min="8974" max="9216" width="11.42578125" style="1"/>
    <col min="9217" max="9217" width="11.42578125" style="1" customWidth="1"/>
    <col min="9218" max="9218" width="14.42578125" style="1" customWidth="1"/>
    <col min="9219" max="9219" width="14" style="1" customWidth="1"/>
    <col min="9220" max="9220" width="17.140625" style="1" customWidth="1"/>
    <col min="9221" max="9221" width="18.140625" style="1" customWidth="1"/>
    <col min="9222" max="9222" width="16.5703125" style="1" customWidth="1"/>
    <col min="9223" max="9225" width="18.85546875" style="1" customWidth="1"/>
    <col min="9226" max="9226" width="20.140625" style="1" customWidth="1"/>
    <col min="9227" max="9227" width="17" style="1" customWidth="1"/>
    <col min="9228" max="9228" width="16.28515625" style="1" customWidth="1"/>
    <col min="9229" max="9229" width="12.7109375" style="1" bestFit="1" customWidth="1"/>
    <col min="9230" max="9472" width="11.42578125" style="1"/>
    <col min="9473" max="9473" width="11.42578125" style="1" customWidth="1"/>
    <col min="9474" max="9474" width="14.42578125" style="1" customWidth="1"/>
    <col min="9475" max="9475" width="14" style="1" customWidth="1"/>
    <col min="9476" max="9476" width="17.140625" style="1" customWidth="1"/>
    <col min="9477" max="9477" width="18.140625" style="1" customWidth="1"/>
    <col min="9478" max="9478" width="16.5703125" style="1" customWidth="1"/>
    <col min="9479" max="9481" width="18.85546875" style="1" customWidth="1"/>
    <col min="9482" max="9482" width="20.140625" style="1" customWidth="1"/>
    <col min="9483" max="9483" width="17" style="1" customWidth="1"/>
    <col min="9484" max="9484" width="16.28515625" style="1" customWidth="1"/>
    <col min="9485" max="9485" width="12.7109375" style="1" bestFit="1" customWidth="1"/>
    <col min="9486" max="9728" width="11.42578125" style="1"/>
    <col min="9729" max="9729" width="11.42578125" style="1" customWidth="1"/>
    <col min="9730" max="9730" width="14.42578125" style="1" customWidth="1"/>
    <col min="9731" max="9731" width="14" style="1" customWidth="1"/>
    <col min="9732" max="9732" width="17.140625" style="1" customWidth="1"/>
    <col min="9733" max="9733" width="18.140625" style="1" customWidth="1"/>
    <col min="9734" max="9734" width="16.5703125" style="1" customWidth="1"/>
    <col min="9735" max="9737" width="18.85546875" style="1" customWidth="1"/>
    <col min="9738" max="9738" width="20.140625" style="1" customWidth="1"/>
    <col min="9739" max="9739" width="17" style="1" customWidth="1"/>
    <col min="9740" max="9740" width="16.28515625" style="1" customWidth="1"/>
    <col min="9741" max="9741" width="12.7109375" style="1" bestFit="1" customWidth="1"/>
    <col min="9742" max="9984" width="11.42578125" style="1"/>
    <col min="9985" max="9985" width="11.42578125" style="1" customWidth="1"/>
    <col min="9986" max="9986" width="14.42578125" style="1" customWidth="1"/>
    <col min="9987" max="9987" width="14" style="1" customWidth="1"/>
    <col min="9988" max="9988" width="17.140625" style="1" customWidth="1"/>
    <col min="9989" max="9989" width="18.140625" style="1" customWidth="1"/>
    <col min="9990" max="9990" width="16.5703125" style="1" customWidth="1"/>
    <col min="9991" max="9993" width="18.85546875" style="1" customWidth="1"/>
    <col min="9994" max="9994" width="20.140625" style="1" customWidth="1"/>
    <col min="9995" max="9995" width="17" style="1" customWidth="1"/>
    <col min="9996" max="9996" width="16.28515625" style="1" customWidth="1"/>
    <col min="9997" max="9997" width="12.7109375" style="1" bestFit="1" customWidth="1"/>
    <col min="9998" max="10240" width="11.42578125" style="1"/>
    <col min="10241" max="10241" width="11.42578125" style="1" customWidth="1"/>
    <col min="10242" max="10242" width="14.42578125" style="1" customWidth="1"/>
    <col min="10243" max="10243" width="14" style="1" customWidth="1"/>
    <col min="10244" max="10244" width="17.140625" style="1" customWidth="1"/>
    <col min="10245" max="10245" width="18.140625" style="1" customWidth="1"/>
    <col min="10246" max="10246" width="16.5703125" style="1" customWidth="1"/>
    <col min="10247" max="10249" width="18.85546875" style="1" customWidth="1"/>
    <col min="10250" max="10250" width="20.140625" style="1" customWidth="1"/>
    <col min="10251" max="10251" width="17" style="1" customWidth="1"/>
    <col min="10252" max="10252" width="16.28515625" style="1" customWidth="1"/>
    <col min="10253" max="10253" width="12.7109375" style="1" bestFit="1" customWidth="1"/>
    <col min="10254" max="10496" width="11.42578125" style="1"/>
    <col min="10497" max="10497" width="11.42578125" style="1" customWidth="1"/>
    <col min="10498" max="10498" width="14.42578125" style="1" customWidth="1"/>
    <col min="10499" max="10499" width="14" style="1" customWidth="1"/>
    <col min="10500" max="10500" width="17.140625" style="1" customWidth="1"/>
    <col min="10501" max="10501" width="18.140625" style="1" customWidth="1"/>
    <col min="10502" max="10502" width="16.5703125" style="1" customWidth="1"/>
    <col min="10503" max="10505" width="18.85546875" style="1" customWidth="1"/>
    <col min="10506" max="10506" width="20.140625" style="1" customWidth="1"/>
    <col min="10507" max="10507" width="17" style="1" customWidth="1"/>
    <col min="10508" max="10508" width="16.28515625" style="1" customWidth="1"/>
    <col min="10509" max="10509" width="12.7109375" style="1" bestFit="1" customWidth="1"/>
    <col min="10510" max="10752" width="11.42578125" style="1"/>
    <col min="10753" max="10753" width="11.42578125" style="1" customWidth="1"/>
    <col min="10754" max="10754" width="14.42578125" style="1" customWidth="1"/>
    <col min="10755" max="10755" width="14" style="1" customWidth="1"/>
    <col min="10756" max="10756" width="17.140625" style="1" customWidth="1"/>
    <col min="10757" max="10757" width="18.140625" style="1" customWidth="1"/>
    <col min="10758" max="10758" width="16.5703125" style="1" customWidth="1"/>
    <col min="10759" max="10761" width="18.85546875" style="1" customWidth="1"/>
    <col min="10762" max="10762" width="20.140625" style="1" customWidth="1"/>
    <col min="10763" max="10763" width="17" style="1" customWidth="1"/>
    <col min="10764" max="10764" width="16.28515625" style="1" customWidth="1"/>
    <col min="10765" max="10765" width="12.7109375" style="1" bestFit="1" customWidth="1"/>
    <col min="10766" max="11008" width="11.42578125" style="1"/>
    <col min="11009" max="11009" width="11.42578125" style="1" customWidth="1"/>
    <col min="11010" max="11010" width="14.42578125" style="1" customWidth="1"/>
    <col min="11011" max="11011" width="14" style="1" customWidth="1"/>
    <col min="11012" max="11012" width="17.140625" style="1" customWidth="1"/>
    <col min="11013" max="11013" width="18.140625" style="1" customWidth="1"/>
    <col min="11014" max="11014" width="16.5703125" style="1" customWidth="1"/>
    <col min="11015" max="11017" width="18.85546875" style="1" customWidth="1"/>
    <col min="11018" max="11018" width="20.140625" style="1" customWidth="1"/>
    <col min="11019" max="11019" width="17" style="1" customWidth="1"/>
    <col min="11020" max="11020" width="16.28515625" style="1" customWidth="1"/>
    <col min="11021" max="11021" width="12.7109375" style="1" bestFit="1" customWidth="1"/>
    <col min="11022" max="11264" width="11.42578125" style="1"/>
    <col min="11265" max="11265" width="11.42578125" style="1" customWidth="1"/>
    <col min="11266" max="11266" width="14.42578125" style="1" customWidth="1"/>
    <col min="11267" max="11267" width="14" style="1" customWidth="1"/>
    <col min="11268" max="11268" width="17.140625" style="1" customWidth="1"/>
    <col min="11269" max="11269" width="18.140625" style="1" customWidth="1"/>
    <col min="11270" max="11270" width="16.5703125" style="1" customWidth="1"/>
    <col min="11271" max="11273" width="18.85546875" style="1" customWidth="1"/>
    <col min="11274" max="11274" width="20.140625" style="1" customWidth="1"/>
    <col min="11275" max="11275" width="17" style="1" customWidth="1"/>
    <col min="11276" max="11276" width="16.28515625" style="1" customWidth="1"/>
    <col min="11277" max="11277" width="12.7109375" style="1" bestFit="1" customWidth="1"/>
    <col min="11278" max="11520" width="11.42578125" style="1"/>
    <col min="11521" max="11521" width="11.42578125" style="1" customWidth="1"/>
    <col min="11522" max="11522" width="14.42578125" style="1" customWidth="1"/>
    <col min="11523" max="11523" width="14" style="1" customWidth="1"/>
    <col min="11524" max="11524" width="17.140625" style="1" customWidth="1"/>
    <col min="11525" max="11525" width="18.140625" style="1" customWidth="1"/>
    <col min="11526" max="11526" width="16.5703125" style="1" customWidth="1"/>
    <col min="11527" max="11529" width="18.85546875" style="1" customWidth="1"/>
    <col min="11530" max="11530" width="20.140625" style="1" customWidth="1"/>
    <col min="11531" max="11531" width="17" style="1" customWidth="1"/>
    <col min="11532" max="11532" width="16.28515625" style="1" customWidth="1"/>
    <col min="11533" max="11533" width="12.7109375" style="1" bestFit="1" customWidth="1"/>
    <col min="11534" max="11776" width="11.42578125" style="1"/>
    <col min="11777" max="11777" width="11.42578125" style="1" customWidth="1"/>
    <col min="11778" max="11778" width="14.42578125" style="1" customWidth="1"/>
    <col min="11779" max="11779" width="14" style="1" customWidth="1"/>
    <col min="11780" max="11780" width="17.140625" style="1" customWidth="1"/>
    <col min="11781" max="11781" width="18.140625" style="1" customWidth="1"/>
    <col min="11782" max="11782" width="16.5703125" style="1" customWidth="1"/>
    <col min="11783" max="11785" width="18.85546875" style="1" customWidth="1"/>
    <col min="11786" max="11786" width="20.140625" style="1" customWidth="1"/>
    <col min="11787" max="11787" width="17" style="1" customWidth="1"/>
    <col min="11788" max="11788" width="16.28515625" style="1" customWidth="1"/>
    <col min="11789" max="11789" width="12.7109375" style="1" bestFit="1" customWidth="1"/>
    <col min="11790" max="12032" width="11.42578125" style="1"/>
    <col min="12033" max="12033" width="11.42578125" style="1" customWidth="1"/>
    <col min="12034" max="12034" width="14.42578125" style="1" customWidth="1"/>
    <col min="12035" max="12035" width="14" style="1" customWidth="1"/>
    <col min="12036" max="12036" width="17.140625" style="1" customWidth="1"/>
    <col min="12037" max="12037" width="18.140625" style="1" customWidth="1"/>
    <col min="12038" max="12038" width="16.5703125" style="1" customWidth="1"/>
    <col min="12039" max="12041" width="18.85546875" style="1" customWidth="1"/>
    <col min="12042" max="12042" width="20.140625" style="1" customWidth="1"/>
    <col min="12043" max="12043" width="17" style="1" customWidth="1"/>
    <col min="12044" max="12044" width="16.28515625" style="1" customWidth="1"/>
    <col min="12045" max="12045" width="12.7109375" style="1" bestFit="1" customWidth="1"/>
    <col min="12046" max="12288" width="11.42578125" style="1"/>
    <col min="12289" max="12289" width="11.42578125" style="1" customWidth="1"/>
    <col min="12290" max="12290" width="14.42578125" style="1" customWidth="1"/>
    <col min="12291" max="12291" width="14" style="1" customWidth="1"/>
    <col min="12292" max="12292" width="17.140625" style="1" customWidth="1"/>
    <col min="12293" max="12293" width="18.140625" style="1" customWidth="1"/>
    <col min="12294" max="12294" width="16.5703125" style="1" customWidth="1"/>
    <col min="12295" max="12297" width="18.85546875" style="1" customWidth="1"/>
    <col min="12298" max="12298" width="20.140625" style="1" customWidth="1"/>
    <col min="12299" max="12299" width="17" style="1" customWidth="1"/>
    <col min="12300" max="12300" width="16.28515625" style="1" customWidth="1"/>
    <col min="12301" max="12301" width="12.7109375" style="1" bestFit="1" customWidth="1"/>
    <col min="12302" max="12544" width="11.42578125" style="1"/>
    <col min="12545" max="12545" width="11.42578125" style="1" customWidth="1"/>
    <col min="12546" max="12546" width="14.42578125" style="1" customWidth="1"/>
    <col min="12547" max="12547" width="14" style="1" customWidth="1"/>
    <col min="12548" max="12548" width="17.140625" style="1" customWidth="1"/>
    <col min="12549" max="12549" width="18.140625" style="1" customWidth="1"/>
    <col min="12550" max="12550" width="16.5703125" style="1" customWidth="1"/>
    <col min="12551" max="12553" width="18.85546875" style="1" customWidth="1"/>
    <col min="12554" max="12554" width="20.140625" style="1" customWidth="1"/>
    <col min="12555" max="12555" width="17" style="1" customWidth="1"/>
    <col min="12556" max="12556" width="16.28515625" style="1" customWidth="1"/>
    <col min="12557" max="12557" width="12.7109375" style="1" bestFit="1" customWidth="1"/>
    <col min="12558" max="12800" width="11.42578125" style="1"/>
    <col min="12801" max="12801" width="11.42578125" style="1" customWidth="1"/>
    <col min="12802" max="12802" width="14.42578125" style="1" customWidth="1"/>
    <col min="12803" max="12803" width="14" style="1" customWidth="1"/>
    <col min="12804" max="12804" width="17.140625" style="1" customWidth="1"/>
    <col min="12805" max="12805" width="18.140625" style="1" customWidth="1"/>
    <col min="12806" max="12806" width="16.5703125" style="1" customWidth="1"/>
    <col min="12807" max="12809" width="18.85546875" style="1" customWidth="1"/>
    <col min="12810" max="12810" width="20.140625" style="1" customWidth="1"/>
    <col min="12811" max="12811" width="17" style="1" customWidth="1"/>
    <col min="12812" max="12812" width="16.28515625" style="1" customWidth="1"/>
    <col min="12813" max="12813" width="12.7109375" style="1" bestFit="1" customWidth="1"/>
    <col min="12814" max="13056" width="11.42578125" style="1"/>
    <col min="13057" max="13057" width="11.42578125" style="1" customWidth="1"/>
    <col min="13058" max="13058" width="14.42578125" style="1" customWidth="1"/>
    <col min="13059" max="13059" width="14" style="1" customWidth="1"/>
    <col min="13060" max="13060" width="17.140625" style="1" customWidth="1"/>
    <col min="13061" max="13061" width="18.140625" style="1" customWidth="1"/>
    <col min="13062" max="13062" width="16.5703125" style="1" customWidth="1"/>
    <col min="13063" max="13065" width="18.85546875" style="1" customWidth="1"/>
    <col min="13066" max="13066" width="20.140625" style="1" customWidth="1"/>
    <col min="13067" max="13067" width="17" style="1" customWidth="1"/>
    <col min="13068" max="13068" width="16.28515625" style="1" customWidth="1"/>
    <col min="13069" max="13069" width="12.7109375" style="1" bestFit="1" customWidth="1"/>
    <col min="13070" max="13312" width="11.42578125" style="1"/>
    <col min="13313" max="13313" width="11.42578125" style="1" customWidth="1"/>
    <col min="13314" max="13314" width="14.42578125" style="1" customWidth="1"/>
    <col min="13315" max="13315" width="14" style="1" customWidth="1"/>
    <col min="13316" max="13316" width="17.140625" style="1" customWidth="1"/>
    <col min="13317" max="13317" width="18.140625" style="1" customWidth="1"/>
    <col min="13318" max="13318" width="16.5703125" style="1" customWidth="1"/>
    <col min="13319" max="13321" width="18.85546875" style="1" customWidth="1"/>
    <col min="13322" max="13322" width="20.140625" style="1" customWidth="1"/>
    <col min="13323" max="13323" width="17" style="1" customWidth="1"/>
    <col min="13324" max="13324" width="16.28515625" style="1" customWidth="1"/>
    <col min="13325" max="13325" width="12.7109375" style="1" bestFit="1" customWidth="1"/>
    <col min="13326" max="13568" width="11.42578125" style="1"/>
    <col min="13569" max="13569" width="11.42578125" style="1" customWidth="1"/>
    <col min="13570" max="13570" width="14.42578125" style="1" customWidth="1"/>
    <col min="13571" max="13571" width="14" style="1" customWidth="1"/>
    <col min="13572" max="13572" width="17.140625" style="1" customWidth="1"/>
    <col min="13573" max="13573" width="18.140625" style="1" customWidth="1"/>
    <col min="13574" max="13574" width="16.5703125" style="1" customWidth="1"/>
    <col min="13575" max="13577" width="18.85546875" style="1" customWidth="1"/>
    <col min="13578" max="13578" width="20.140625" style="1" customWidth="1"/>
    <col min="13579" max="13579" width="17" style="1" customWidth="1"/>
    <col min="13580" max="13580" width="16.28515625" style="1" customWidth="1"/>
    <col min="13581" max="13581" width="12.7109375" style="1" bestFit="1" customWidth="1"/>
    <col min="13582" max="13824" width="11.42578125" style="1"/>
    <col min="13825" max="13825" width="11.42578125" style="1" customWidth="1"/>
    <col min="13826" max="13826" width="14.42578125" style="1" customWidth="1"/>
    <col min="13827" max="13827" width="14" style="1" customWidth="1"/>
    <col min="13828" max="13828" width="17.140625" style="1" customWidth="1"/>
    <col min="13829" max="13829" width="18.140625" style="1" customWidth="1"/>
    <col min="13830" max="13830" width="16.5703125" style="1" customWidth="1"/>
    <col min="13831" max="13833" width="18.85546875" style="1" customWidth="1"/>
    <col min="13834" max="13834" width="20.140625" style="1" customWidth="1"/>
    <col min="13835" max="13835" width="17" style="1" customWidth="1"/>
    <col min="13836" max="13836" width="16.28515625" style="1" customWidth="1"/>
    <col min="13837" max="13837" width="12.7109375" style="1" bestFit="1" customWidth="1"/>
    <col min="13838" max="14080" width="11.42578125" style="1"/>
    <col min="14081" max="14081" width="11.42578125" style="1" customWidth="1"/>
    <col min="14082" max="14082" width="14.42578125" style="1" customWidth="1"/>
    <col min="14083" max="14083" width="14" style="1" customWidth="1"/>
    <col min="14084" max="14084" width="17.140625" style="1" customWidth="1"/>
    <col min="14085" max="14085" width="18.140625" style="1" customWidth="1"/>
    <col min="14086" max="14086" width="16.5703125" style="1" customWidth="1"/>
    <col min="14087" max="14089" width="18.85546875" style="1" customWidth="1"/>
    <col min="14090" max="14090" width="20.140625" style="1" customWidth="1"/>
    <col min="14091" max="14091" width="17" style="1" customWidth="1"/>
    <col min="14092" max="14092" width="16.28515625" style="1" customWidth="1"/>
    <col min="14093" max="14093" width="12.7109375" style="1" bestFit="1" customWidth="1"/>
    <col min="14094" max="14336" width="11.42578125" style="1"/>
    <col min="14337" max="14337" width="11.42578125" style="1" customWidth="1"/>
    <col min="14338" max="14338" width="14.42578125" style="1" customWidth="1"/>
    <col min="14339" max="14339" width="14" style="1" customWidth="1"/>
    <col min="14340" max="14340" width="17.140625" style="1" customWidth="1"/>
    <col min="14341" max="14341" width="18.140625" style="1" customWidth="1"/>
    <col min="14342" max="14342" width="16.5703125" style="1" customWidth="1"/>
    <col min="14343" max="14345" width="18.85546875" style="1" customWidth="1"/>
    <col min="14346" max="14346" width="20.140625" style="1" customWidth="1"/>
    <col min="14347" max="14347" width="17" style="1" customWidth="1"/>
    <col min="14348" max="14348" width="16.28515625" style="1" customWidth="1"/>
    <col min="14349" max="14349" width="12.7109375" style="1" bestFit="1" customWidth="1"/>
    <col min="14350" max="14592" width="11.42578125" style="1"/>
    <col min="14593" max="14593" width="11.42578125" style="1" customWidth="1"/>
    <col min="14594" max="14594" width="14.42578125" style="1" customWidth="1"/>
    <col min="14595" max="14595" width="14" style="1" customWidth="1"/>
    <col min="14596" max="14596" width="17.140625" style="1" customWidth="1"/>
    <col min="14597" max="14597" width="18.140625" style="1" customWidth="1"/>
    <col min="14598" max="14598" width="16.5703125" style="1" customWidth="1"/>
    <col min="14599" max="14601" width="18.85546875" style="1" customWidth="1"/>
    <col min="14602" max="14602" width="20.140625" style="1" customWidth="1"/>
    <col min="14603" max="14603" width="17" style="1" customWidth="1"/>
    <col min="14604" max="14604" width="16.28515625" style="1" customWidth="1"/>
    <col min="14605" max="14605" width="12.7109375" style="1" bestFit="1" customWidth="1"/>
    <col min="14606" max="14848" width="11.42578125" style="1"/>
    <col min="14849" max="14849" width="11.42578125" style="1" customWidth="1"/>
    <col min="14850" max="14850" width="14.42578125" style="1" customWidth="1"/>
    <col min="14851" max="14851" width="14" style="1" customWidth="1"/>
    <col min="14852" max="14852" width="17.140625" style="1" customWidth="1"/>
    <col min="14853" max="14853" width="18.140625" style="1" customWidth="1"/>
    <col min="14854" max="14854" width="16.5703125" style="1" customWidth="1"/>
    <col min="14855" max="14857" width="18.85546875" style="1" customWidth="1"/>
    <col min="14858" max="14858" width="20.140625" style="1" customWidth="1"/>
    <col min="14859" max="14859" width="17" style="1" customWidth="1"/>
    <col min="14860" max="14860" width="16.28515625" style="1" customWidth="1"/>
    <col min="14861" max="14861" width="12.7109375" style="1" bestFit="1" customWidth="1"/>
    <col min="14862" max="15104" width="11.42578125" style="1"/>
    <col min="15105" max="15105" width="11.42578125" style="1" customWidth="1"/>
    <col min="15106" max="15106" width="14.42578125" style="1" customWidth="1"/>
    <col min="15107" max="15107" width="14" style="1" customWidth="1"/>
    <col min="15108" max="15108" width="17.140625" style="1" customWidth="1"/>
    <col min="15109" max="15109" width="18.140625" style="1" customWidth="1"/>
    <col min="15110" max="15110" width="16.5703125" style="1" customWidth="1"/>
    <col min="15111" max="15113" width="18.85546875" style="1" customWidth="1"/>
    <col min="15114" max="15114" width="20.140625" style="1" customWidth="1"/>
    <col min="15115" max="15115" width="17" style="1" customWidth="1"/>
    <col min="15116" max="15116" width="16.28515625" style="1" customWidth="1"/>
    <col min="15117" max="15117" width="12.7109375" style="1" bestFit="1" customWidth="1"/>
    <col min="15118" max="15360" width="11.42578125" style="1"/>
    <col min="15361" max="15361" width="11.42578125" style="1" customWidth="1"/>
    <col min="15362" max="15362" width="14.42578125" style="1" customWidth="1"/>
    <col min="15363" max="15363" width="14" style="1" customWidth="1"/>
    <col min="15364" max="15364" width="17.140625" style="1" customWidth="1"/>
    <col min="15365" max="15365" width="18.140625" style="1" customWidth="1"/>
    <col min="15366" max="15366" width="16.5703125" style="1" customWidth="1"/>
    <col min="15367" max="15369" width="18.85546875" style="1" customWidth="1"/>
    <col min="15370" max="15370" width="20.140625" style="1" customWidth="1"/>
    <col min="15371" max="15371" width="17" style="1" customWidth="1"/>
    <col min="15372" max="15372" width="16.28515625" style="1" customWidth="1"/>
    <col min="15373" max="15373" width="12.7109375" style="1" bestFit="1" customWidth="1"/>
    <col min="15374" max="15616" width="11.42578125" style="1"/>
    <col min="15617" max="15617" width="11.42578125" style="1" customWidth="1"/>
    <col min="15618" max="15618" width="14.42578125" style="1" customWidth="1"/>
    <col min="15619" max="15619" width="14" style="1" customWidth="1"/>
    <col min="15620" max="15620" width="17.140625" style="1" customWidth="1"/>
    <col min="15621" max="15621" width="18.140625" style="1" customWidth="1"/>
    <col min="15622" max="15622" width="16.5703125" style="1" customWidth="1"/>
    <col min="15623" max="15625" width="18.85546875" style="1" customWidth="1"/>
    <col min="15626" max="15626" width="20.140625" style="1" customWidth="1"/>
    <col min="15627" max="15627" width="17" style="1" customWidth="1"/>
    <col min="15628" max="15628" width="16.28515625" style="1" customWidth="1"/>
    <col min="15629" max="15629" width="12.7109375" style="1" bestFit="1" customWidth="1"/>
    <col min="15630" max="15872" width="11.42578125" style="1"/>
    <col min="15873" max="15873" width="11.42578125" style="1" customWidth="1"/>
    <col min="15874" max="15874" width="14.42578125" style="1" customWidth="1"/>
    <col min="15875" max="15875" width="14" style="1" customWidth="1"/>
    <col min="15876" max="15876" width="17.140625" style="1" customWidth="1"/>
    <col min="15877" max="15877" width="18.140625" style="1" customWidth="1"/>
    <col min="15878" max="15878" width="16.5703125" style="1" customWidth="1"/>
    <col min="15879" max="15881" width="18.85546875" style="1" customWidth="1"/>
    <col min="15882" max="15882" width="20.140625" style="1" customWidth="1"/>
    <col min="15883" max="15883" width="17" style="1" customWidth="1"/>
    <col min="15884" max="15884" width="16.28515625" style="1" customWidth="1"/>
    <col min="15885" max="15885" width="12.7109375" style="1" bestFit="1" customWidth="1"/>
    <col min="15886" max="16128" width="11.42578125" style="1"/>
    <col min="16129" max="16129" width="11.42578125" style="1" customWidth="1"/>
    <col min="16130" max="16130" width="14.42578125" style="1" customWidth="1"/>
    <col min="16131" max="16131" width="14" style="1" customWidth="1"/>
    <col min="16132" max="16132" width="17.140625" style="1" customWidth="1"/>
    <col min="16133" max="16133" width="18.140625" style="1" customWidth="1"/>
    <col min="16134" max="16134" width="16.5703125" style="1" customWidth="1"/>
    <col min="16135" max="16137" width="18.85546875" style="1" customWidth="1"/>
    <col min="16138" max="16138" width="20.140625" style="1" customWidth="1"/>
    <col min="16139" max="16139" width="17" style="1" customWidth="1"/>
    <col min="16140" max="16140" width="16.28515625" style="1" customWidth="1"/>
    <col min="16141" max="16141" width="12.7109375" style="1" bestFit="1" customWidth="1"/>
    <col min="16142" max="16384" width="11.42578125" style="1"/>
  </cols>
  <sheetData>
    <row r="2" spans="1:17" ht="13.15" customHeight="1" x14ac:dyDescent="0.25">
      <c r="A2" s="111" t="s">
        <v>0</v>
      </c>
      <c r="B2" s="111"/>
      <c r="C2" s="111"/>
      <c r="D2" s="111"/>
      <c r="E2" s="111"/>
      <c r="F2" s="111"/>
      <c r="G2" s="25"/>
      <c r="H2" s="25"/>
      <c r="I2" s="25"/>
      <c r="J2" s="25"/>
      <c r="K2" s="26"/>
      <c r="L2" s="27"/>
    </row>
    <row r="3" spans="1:17" x14ac:dyDescent="0.25">
      <c r="A3" s="28" t="s">
        <v>6</v>
      </c>
      <c r="B3" s="28"/>
      <c r="C3" s="28"/>
      <c r="D3" s="28"/>
      <c r="E3" s="28"/>
      <c r="F3" s="29"/>
      <c r="G3" s="29"/>
      <c r="H3" s="29"/>
      <c r="I3" s="29"/>
      <c r="J3" s="29"/>
      <c r="K3" s="26"/>
      <c r="L3" s="27"/>
    </row>
    <row r="4" spans="1:17" x14ac:dyDescent="0.25">
      <c r="A4" s="112" t="s">
        <v>30</v>
      </c>
      <c r="B4" s="112"/>
      <c r="C4" s="112"/>
      <c r="D4" s="112"/>
      <c r="E4" s="112"/>
      <c r="F4" s="112"/>
      <c r="G4" s="23"/>
      <c r="H4" s="23"/>
      <c r="I4" s="23"/>
      <c r="J4" s="23"/>
      <c r="K4" s="26"/>
      <c r="L4" s="27"/>
    </row>
    <row r="5" spans="1:17" ht="51" customHeight="1" x14ac:dyDescent="0.25">
      <c r="A5" s="30"/>
      <c r="B5" s="30"/>
      <c r="C5" s="30"/>
      <c r="D5" s="30"/>
      <c r="E5" s="30"/>
      <c r="F5" s="30"/>
      <c r="G5" s="31"/>
      <c r="H5" s="32" t="s">
        <v>7</v>
      </c>
      <c r="I5" s="33" t="s">
        <v>8</v>
      </c>
      <c r="J5" s="32"/>
      <c r="K5" s="34"/>
      <c r="L5" s="34"/>
      <c r="M5" s="35"/>
      <c r="N5" s="35"/>
      <c r="O5" s="35"/>
      <c r="P5" s="35"/>
      <c r="Q5" s="35"/>
    </row>
    <row r="6" spans="1:17" x14ac:dyDescent="0.25">
      <c r="A6" s="12"/>
      <c r="B6" s="12" t="s">
        <v>9</v>
      </c>
      <c r="C6" s="12"/>
      <c r="D6" s="12"/>
      <c r="E6" s="12" t="s">
        <v>10</v>
      </c>
      <c r="F6" s="12" t="s">
        <v>11</v>
      </c>
      <c r="G6" s="12"/>
      <c r="H6" s="19" t="s">
        <v>12</v>
      </c>
      <c r="I6" s="33"/>
      <c r="J6" s="19" t="s">
        <v>13</v>
      </c>
      <c r="K6" s="36"/>
      <c r="L6" s="35"/>
      <c r="M6" s="35"/>
      <c r="N6" s="35"/>
      <c r="O6" s="35"/>
      <c r="P6" s="35"/>
      <c r="Q6" s="35"/>
    </row>
    <row r="7" spans="1:17" ht="39" x14ac:dyDescent="0.25">
      <c r="A7" s="30" t="s">
        <v>1</v>
      </c>
      <c r="B7" s="30" t="s">
        <v>14</v>
      </c>
      <c r="C7" s="30" t="s">
        <v>15</v>
      </c>
      <c r="D7" s="30" t="s">
        <v>2</v>
      </c>
      <c r="E7" s="12" t="s">
        <v>16</v>
      </c>
      <c r="F7" s="12" t="s">
        <v>17</v>
      </c>
      <c r="G7" s="12"/>
      <c r="H7" s="37" t="s">
        <v>18</v>
      </c>
      <c r="I7" s="33"/>
      <c r="J7" s="19" t="s">
        <v>19</v>
      </c>
      <c r="K7" s="35"/>
      <c r="L7" s="35"/>
      <c r="M7" s="35"/>
      <c r="N7" s="35"/>
      <c r="O7" s="35"/>
      <c r="P7" s="35"/>
      <c r="Q7" s="35"/>
    </row>
    <row r="8" spans="1:17" x14ac:dyDescent="0.25">
      <c r="A8" s="3">
        <v>2005</v>
      </c>
      <c r="B8" s="3">
        <v>9348263.4900000002</v>
      </c>
      <c r="C8" s="3">
        <v>1367134.27</v>
      </c>
      <c r="D8" s="3">
        <v>10715397.76</v>
      </c>
      <c r="E8" s="3">
        <v>10580447.1</v>
      </c>
      <c r="F8" s="3"/>
      <c r="G8" s="3"/>
      <c r="H8" s="38"/>
      <c r="I8" s="38"/>
      <c r="J8" s="38">
        <f t="shared" ref="J8:J13" si="0">D8-E8-F8-G8-H8</f>
        <v>134950.66000000015</v>
      </c>
    </row>
    <row r="9" spans="1:17" x14ac:dyDescent="0.25">
      <c r="A9" s="3">
        <v>2006</v>
      </c>
      <c r="B9" s="3">
        <v>39009840.240000002</v>
      </c>
      <c r="C9" s="3">
        <v>6957637.129999999</v>
      </c>
      <c r="D9" s="3">
        <f t="shared" ref="D9:D19" si="1">B9+C9</f>
        <v>45967477.370000005</v>
      </c>
      <c r="E9" s="3">
        <v>44836444.770000003</v>
      </c>
      <c r="F9" s="3"/>
      <c r="G9" s="3"/>
      <c r="H9" s="38"/>
      <c r="I9" s="38"/>
      <c r="J9" s="38">
        <f t="shared" si="0"/>
        <v>1131032.6000000015</v>
      </c>
    </row>
    <row r="10" spans="1:17" x14ac:dyDescent="0.25">
      <c r="A10" s="3">
        <v>2007</v>
      </c>
      <c r="B10" s="3">
        <v>36762305.359999999</v>
      </c>
      <c r="C10" s="3">
        <v>9493506.0600000024</v>
      </c>
      <c r="D10" s="3">
        <f t="shared" si="1"/>
        <v>46255811.420000002</v>
      </c>
      <c r="E10" s="3">
        <v>44651215.120000005</v>
      </c>
      <c r="F10" s="3"/>
      <c r="G10" s="3"/>
      <c r="H10" s="38"/>
      <c r="I10" s="38"/>
      <c r="J10" s="38">
        <f t="shared" si="0"/>
        <v>1604596.299999997</v>
      </c>
    </row>
    <row r="11" spans="1:17" x14ac:dyDescent="0.25">
      <c r="A11" s="3">
        <v>2008</v>
      </c>
      <c r="B11" s="3">
        <v>65017026.640000008</v>
      </c>
      <c r="C11" s="3">
        <v>21958831.639999993</v>
      </c>
      <c r="D11" s="3">
        <f t="shared" si="1"/>
        <v>86975858.280000001</v>
      </c>
      <c r="E11" s="39">
        <v>79209002.180000007</v>
      </c>
      <c r="F11" s="3"/>
      <c r="G11" s="3"/>
      <c r="H11" s="38"/>
      <c r="I11" s="38"/>
      <c r="J11" s="38">
        <f t="shared" si="0"/>
        <v>7766856.099999994</v>
      </c>
    </row>
    <row r="12" spans="1:17" x14ac:dyDescent="0.25">
      <c r="A12" s="3">
        <v>2009</v>
      </c>
      <c r="B12" s="3">
        <v>80619711.879999995</v>
      </c>
      <c r="C12" s="3">
        <v>28436399.017999995</v>
      </c>
      <c r="D12" s="3">
        <f t="shared" si="1"/>
        <v>109056110.89799999</v>
      </c>
      <c r="E12" s="4">
        <v>99588056.949999914</v>
      </c>
      <c r="F12" s="3"/>
      <c r="G12" s="3"/>
      <c r="H12" s="38"/>
      <c r="I12" s="38"/>
      <c r="J12" s="38">
        <f t="shared" si="0"/>
        <v>9468053.9480000734</v>
      </c>
    </row>
    <row r="13" spans="1:17" x14ac:dyDescent="0.25">
      <c r="A13" s="3">
        <v>2010</v>
      </c>
      <c r="B13" s="3">
        <v>126811599.95</v>
      </c>
      <c r="C13" s="3">
        <v>37113788.979999997</v>
      </c>
      <c r="D13" s="3">
        <f t="shared" si="1"/>
        <v>163925388.93000001</v>
      </c>
      <c r="E13" s="3">
        <v>102907091.36000004</v>
      </c>
      <c r="F13" s="3">
        <v>57612428.650000006</v>
      </c>
      <c r="G13" s="3"/>
      <c r="H13" s="38"/>
      <c r="I13" s="38"/>
      <c r="J13" s="38">
        <f t="shared" si="0"/>
        <v>3405868.9199999571</v>
      </c>
    </row>
    <row r="14" spans="1:17" x14ac:dyDescent="0.25">
      <c r="A14" s="3">
        <v>2011</v>
      </c>
      <c r="B14" s="3">
        <v>146745401.44</v>
      </c>
      <c r="C14" s="3">
        <v>29541438.890000001</v>
      </c>
      <c r="D14" s="3">
        <f t="shared" si="1"/>
        <v>176286840.32999998</v>
      </c>
      <c r="E14" s="3">
        <v>94871369.540000007</v>
      </c>
      <c r="F14" s="3">
        <v>77827479.560000002</v>
      </c>
      <c r="G14" s="3"/>
      <c r="H14" s="38"/>
      <c r="I14" s="38">
        <v>3587991.23</v>
      </c>
      <c r="J14" s="38">
        <f>D14-E14-F14-G14-H14-I14</f>
        <v>-2.5611370801925659E-8</v>
      </c>
    </row>
    <row r="15" spans="1:17" ht="20.25" x14ac:dyDescent="0.3">
      <c r="A15" s="3">
        <v>2012</v>
      </c>
      <c r="B15" s="3">
        <v>56228781.310000002</v>
      </c>
      <c r="C15" s="3">
        <v>17069203.739999998</v>
      </c>
      <c r="D15" s="3">
        <f t="shared" si="1"/>
        <v>73297985.049999997</v>
      </c>
      <c r="E15" s="3">
        <f>72879077.6+418907.45-2614732.37</f>
        <v>70683252.679999992</v>
      </c>
      <c r="F15" s="3"/>
      <c r="G15" s="3"/>
      <c r="H15" s="38">
        <v>2614732.37</v>
      </c>
      <c r="I15" s="38"/>
      <c r="J15" s="38">
        <f>D15-E15-F15-G15-H15</f>
        <v>4.6566128730773926E-9</v>
      </c>
      <c r="K15" s="40"/>
    </row>
    <row r="16" spans="1:17" x14ac:dyDescent="0.25">
      <c r="A16" s="3">
        <v>2013</v>
      </c>
      <c r="B16" s="3">
        <v>6227468.25</v>
      </c>
      <c r="C16" s="3">
        <v>4215335.42</v>
      </c>
      <c r="D16" s="3">
        <f t="shared" si="1"/>
        <v>10442803.67</v>
      </c>
      <c r="E16" s="3">
        <v>10442803.670000002</v>
      </c>
      <c r="F16" s="3"/>
      <c r="G16" s="3"/>
      <c r="H16" s="38"/>
      <c r="I16" s="38"/>
      <c r="J16" s="38">
        <f>D16-E16-F16-G16-H16</f>
        <v>-1.862645149230957E-9</v>
      </c>
    </row>
    <row r="17" spans="1:14" s="8" customFormat="1" x14ac:dyDescent="0.25">
      <c r="A17" s="4">
        <v>2014</v>
      </c>
      <c r="B17" s="4">
        <v>11228882.060000001</v>
      </c>
      <c r="C17" s="4">
        <f>716146.95+146185.71+12949.74+201692.71</f>
        <v>1076975.1099999999</v>
      </c>
      <c r="D17" s="4">
        <f t="shared" si="1"/>
        <v>12305857.17</v>
      </c>
      <c r="E17" s="4">
        <v>462801.51999999996</v>
      </c>
      <c r="F17" s="4"/>
      <c r="G17" s="4"/>
      <c r="H17" s="38">
        <v>2328626.48</v>
      </c>
      <c r="I17" s="38">
        <f>8000000+1136035</f>
        <v>9136035</v>
      </c>
      <c r="J17" s="38">
        <f>D17-E17-F17-G17-H17-I17</f>
        <v>378394.16999999993</v>
      </c>
    </row>
    <row r="18" spans="1:14" s="8" customFormat="1" x14ac:dyDescent="0.25">
      <c r="A18" s="4">
        <v>2015</v>
      </c>
      <c r="B18" s="4">
        <v>2218012.2599999998</v>
      </c>
      <c r="C18" s="4">
        <f>340882.33+64699.43+3078.36+3662.72</f>
        <v>412322.83999999997</v>
      </c>
      <c r="D18" s="4">
        <f t="shared" si="1"/>
        <v>2630335.0999999996</v>
      </c>
      <c r="E18" s="4">
        <v>0</v>
      </c>
      <c r="F18" s="4">
        <v>0</v>
      </c>
      <c r="G18" s="4"/>
      <c r="H18" s="38">
        <v>0</v>
      </c>
      <c r="I18" s="38">
        <v>0</v>
      </c>
      <c r="J18" s="38">
        <f>D18-E18-F18-G18-H18</f>
        <v>2630335.0999999996</v>
      </c>
    </row>
    <row r="19" spans="1:14" s="8" customFormat="1" x14ac:dyDescent="0.25">
      <c r="A19" s="41">
        <v>2016</v>
      </c>
      <c r="B19" s="4">
        <v>362875.98</v>
      </c>
      <c r="C19" s="4">
        <v>118142.39</v>
      </c>
      <c r="D19" s="4">
        <f t="shared" si="1"/>
        <v>481018.37</v>
      </c>
      <c r="E19" s="4">
        <v>0</v>
      </c>
      <c r="F19" s="4">
        <v>0</v>
      </c>
      <c r="G19" s="4"/>
      <c r="H19" s="38">
        <f>378394.17+2630335.1+68097.13</f>
        <v>3076826.4</v>
      </c>
      <c r="I19" s="38">
        <v>0</v>
      </c>
      <c r="J19" s="38">
        <f>D19-E19-F19-G19-H19</f>
        <v>-2595808.0299999998</v>
      </c>
    </row>
    <row r="20" spans="1:14" x14ac:dyDescent="0.25">
      <c r="A20" s="42">
        <v>2017</v>
      </c>
      <c r="B20" s="12">
        <f>253094.2+272280</f>
        <v>525374.19999999995</v>
      </c>
      <c r="C20" s="12">
        <f>72899.44+13566.08+346134.57</f>
        <v>432600.09</v>
      </c>
      <c r="D20" s="12">
        <f>B20+C20</f>
        <v>957974.29</v>
      </c>
      <c r="E20" s="12">
        <v>0</v>
      </c>
      <c r="F20" s="12">
        <v>0</v>
      </c>
      <c r="G20" s="12"/>
      <c r="H20" s="19">
        <v>0</v>
      </c>
      <c r="I20" s="19">
        <v>0</v>
      </c>
      <c r="J20" s="19">
        <f>D20-E20-F20-G20-H20</f>
        <v>957974.29</v>
      </c>
    </row>
    <row r="21" spans="1:14" ht="39" x14ac:dyDescent="0.25">
      <c r="A21" s="11" t="s">
        <v>31</v>
      </c>
      <c r="B21" s="2">
        <v>322608.40000000002</v>
      </c>
      <c r="C21" s="2">
        <f>29440.49+8832.14</f>
        <v>38272.630000000005</v>
      </c>
      <c r="D21" s="12">
        <f>B21+C21</f>
        <v>360881.03</v>
      </c>
      <c r="E21" s="2">
        <v>0</v>
      </c>
      <c r="F21" s="2">
        <v>0</v>
      </c>
      <c r="G21" s="2"/>
      <c r="H21" s="2">
        <v>0</v>
      </c>
      <c r="I21" s="2"/>
      <c r="J21" s="2">
        <f>D21-E21-F21-G21-H21</f>
        <v>360881.03</v>
      </c>
    </row>
    <row r="22" spans="1:14" ht="15.75" thickBot="1" x14ac:dyDescent="0.3">
      <c r="A22" s="3"/>
      <c r="B22" s="43">
        <f>SUM(B8:B20)</f>
        <v>581105543.05999994</v>
      </c>
      <c r="C22" s="43">
        <f>SUM(C8:C20)</f>
        <v>158193315.57799998</v>
      </c>
      <c r="D22" s="44">
        <f>SUM(D8:D20)</f>
        <v>739298858.63799977</v>
      </c>
      <c r="E22" s="44">
        <f>SUM(E8:E21)</f>
        <v>558232484.88999999</v>
      </c>
      <c r="F22" s="44">
        <f>SUM(F13:F14)</f>
        <v>135439908.21000001</v>
      </c>
      <c r="G22" s="45"/>
      <c r="H22" s="46">
        <f>SUM(H15:H19)</f>
        <v>8020185.25</v>
      </c>
      <c r="I22" s="46">
        <f>SUM(I14:I18)</f>
        <v>12724026.23</v>
      </c>
      <c r="J22" s="47">
        <f>SUM(J8:J21)</f>
        <v>25243135.088</v>
      </c>
    </row>
    <row r="23" spans="1:14" ht="15.75" thickTop="1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48"/>
      <c r="L23" s="48"/>
      <c r="M23" s="48"/>
      <c r="N23" s="48"/>
    </row>
    <row r="24" spans="1:14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48"/>
      <c r="L24" s="48"/>
      <c r="M24" s="48"/>
      <c r="N24" s="48"/>
    </row>
    <row r="25" spans="1:14" ht="18" x14ac:dyDescent="0.25">
      <c r="A25" s="3"/>
      <c r="B25" s="49" t="s">
        <v>20</v>
      </c>
      <c r="C25" s="3"/>
      <c r="D25" s="3"/>
      <c r="E25" s="3"/>
      <c r="F25" s="3"/>
      <c r="G25" s="3"/>
      <c r="H25" s="3"/>
      <c r="I25" s="3"/>
      <c r="J25" s="3"/>
      <c r="K25" s="48"/>
      <c r="L25" s="48"/>
      <c r="M25" s="48"/>
      <c r="N25" s="48"/>
    </row>
    <row r="26" spans="1:14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48"/>
      <c r="L26" s="48"/>
      <c r="M26" s="48"/>
      <c r="N26" s="48"/>
    </row>
    <row r="27" spans="1:14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50"/>
      <c r="L27" s="50"/>
      <c r="M27" s="50"/>
      <c r="N27" s="48"/>
    </row>
    <row r="28" spans="1:14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50"/>
      <c r="L28" s="50"/>
      <c r="M28" s="50"/>
      <c r="N28" s="48"/>
    </row>
    <row r="29" spans="1:14" ht="18.75" x14ac:dyDescent="0.25">
      <c r="B29" s="51" t="s">
        <v>21</v>
      </c>
      <c r="C29" s="51"/>
      <c r="D29" s="51"/>
      <c r="E29" s="52"/>
      <c r="F29" s="52"/>
      <c r="G29" s="4"/>
      <c r="H29" s="4"/>
      <c r="I29" s="4"/>
      <c r="J29" s="4"/>
      <c r="K29" s="53"/>
      <c r="L29" s="50"/>
      <c r="M29" s="50"/>
      <c r="N29" s="48"/>
    </row>
    <row r="30" spans="1:14" x14ac:dyDescent="0.25">
      <c r="A30" s="54"/>
      <c r="B30" s="4" t="s">
        <v>22</v>
      </c>
      <c r="C30" s="4"/>
      <c r="D30" s="4"/>
      <c r="E30" s="4"/>
      <c r="F30" s="4"/>
      <c r="G30" s="4"/>
      <c r="H30" s="4"/>
      <c r="I30" s="55"/>
      <c r="J30" s="4"/>
      <c r="K30" s="50"/>
      <c r="L30" s="50"/>
      <c r="M30" s="53"/>
      <c r="N30" s="48"/>
    </row>
    <row r="31" spans="1:14" x14ac:dyDescent="0.25">
      <c r="A31" s="54"/>
      <c r="B31" s="4" t="s">
        <v>32</v>
      </c>
      <c r="C31" s="4"/>
      <c r="D31" s="4"/>
      <c r="E31" s="4"/>
      <c r="F31" s="4"/>
      <c r="G31" s="4"/>
      <c r="H31" s="4"/>
      <c r="I31" s="4">
        <v>3587991.23</v>
      </c>
      <c r="J31" s="56"/>
      <c r="K31" s="35"/>
      <c r="L31" s="48"/>
      <c r="M31" s="48"/>
      <c r="N31" s="48"/>
    </row>
    <row r="32" spans="1:14" x14ac:dyDescent="0.25">
      <c r="A32" s="4"/>
      <c r="B32" s="4" t="s">
        <v>3</v>
      </c>
      <c r="C32" s="4"/>
      <c r="D32" s="4"/>
      <c r="E32" s="4"/>
      <c r="F32" s="4"/>
      <c r="G32" s="4"/>
      <c r="H32" s="4"/>
      <c r="I32" s="4"/>
      <c r="J32" s="56"/>
      <c r="K32" s="48"/>
      <c r="L32" s="50"/>
      <c r="M32" s="50"/>
      <c r="N32" s="50"/>
    </row>
    <row r="33" spans="1:14" ht="15.75" thickBot="1" x14ac:dyDescent="0.3">
      <c r="A33" s="3"/>
      <c r="B33" s="3" t="s">
        <v>33</v>
      </c>
      <c r="C33" s="50"/>
      <c r="D33" s="50"/>
      <c r="E33" s="50"/>
      <c r="F33" s="50"/>
      <c r="G33" s="50"/>
      <c r="H33" s="50"/>
      <c r="I33" s="57">
        <v>9136035</v>
      </c>
      <c r="J33" s="53"/>
      <c r="K33" s="48"/>
      <c r="L33" s="53"/>
      <c r="M33" s="50"/>
      <c r="N33" s="50"/>
    </row>
    <row r="34" spans="1:14" ht="15.75" thickBot="1" x14ac:dyDescent="0.3">
      <c r="A34" s="3"/>
      <c r="B34" s="3"/>
      <c r="C34" s="3"/>
      <c r="D34" s="3"/>
      <c r="E34" s="3"/>
      <c r="F34" s="3"/>
      <c r="G34" s="3"/>
      <c r="H34" s="3"/>
      <c r="I34" s="58">
        <f>I31+I33</f>
        <v>12724026.23</v>
      </c>
      <c r="J34" s="13">
        <v>12724026.23</v>
      </c>
    </row>
    <row r="35" spans="1:14" ht="15.75" thickTop="1" x14ac:dyDescent="0.25">
      <c r="A35" s="3"/>
      <c r="B35" s="3"/>
      <c r="C35" s="3"/>
      <c r="D35" s="3"/>
      <c r="E35" s="3"/>
      <c r="F35" s="3"/>
      <c r="G35" s="3"/>
      <c r="H35" s="3"/>
      <c r="I35" s="20"/>
      <c r="J35" s="3"/>
    </row>
    <row r="36" spans="1:14" ht="15.75" thickBot="1" x14ac:dyDescent="0.3">
      <c r="A36" s="3"/>
      <c r="B36" s="3" t="s">
        <v>34</v>
      </c>
      <c r="C36" s="3"/>
      <c r="D36" s="3"/>
      <c r="E36" s="3"/>
      <c r="F36" s="3"/>
      <c r="G36" s="3"/>
      <c r="H36" s="3"/>
      <c r="I36" s="20"/>
      <c r="J36" s="15">
        <f>J34+J22</f>
        <v>37967161.318000004</v>
      </c>
    </row>
    <row r="37" spans="1:14" ht="15.75" thickTop="1" x14ac:dyDescent="0.25">
      <c r="A37" s="3"/>
      <c r="B37" s="3"/>
      <c r="C37" s="3"/>
      <c r="D37" s="3"/>
      <c r="E37" s="3"/>
      <c r="F37" s="3"/>
      <c r="G37" s="3"/>
      <c r="H37" s="3"/>
      <c r="I37" s="20"/>
      <c r="J37" s="88">
        <v>1885157.9</v>
      </c>
    </row>
    <row r="38" spans="1:14" x14ac:dyDescent="0.25">
      <c r="A38" s="3"/>
      <c r="B38" s="3"/>
      <c r="C38" s="3"/>
      <c r="D38" s="3"/>
      <c r="E38" s="3"/>
      <c r="F38" s="3"/>
      <c r="G38" s="3"/>
      <c r="H38" s="3"/>
      <c r="I38" s="20"/>
      <c r="J38" s="88">
        <v>3076826.4</v>
      </c>
    </row>
    <row r="39" spans="1:14" x14ac:dyDescent="0.25">
      <c r="A39" s="3"/>
      <c r="B39" s="3"/>
      <c r="C39" s="3"/>
      <c r="D39" s="3"/>
      <c r="E39" s="3"/>
      <c r="F39" s="3"/>
      <c r="G39" s="3"/>
      <c r="H39" s="3"/>
      <c r="I39" s="20"/>
      <c r="J39" s="88">
        <v>37247689.469999999</v>
      </c>
    </row>
    <row r="40" spans="1:14" x14ac:dyDescent="0.25">
      <c r="A40" s="3"/>
      <c r="B40" s="3"/>
      <c r="C40" s="3"/>
      <c r="D40" s="3"/>
      <c r="E40" s="3"/>
      <c r="F40" s="3">
        <v>44049617.979999997</v>
      </c>
      <c r="G40" s="3"/>
      <c r="H40" s="3"/>
      <c r="I40" s="20"/>
      <c r="J40" s="3">
        <v>32826264.59</v>
      </c>
    </row>
    <row r="41" spans="1:14" ht="15.75" thickBot="1" x14ac:dyDescent="0.3">
      <c r="F41" s="1">
        <v>1306359.4099999999</v>
      </c>
      <c r="I41" s="1" t="s">
        <v>61</v>
      </c>
      <c r="J41" s="109">
        <f>SUM(J39:J40)</f>
        <v>70073954.060000002</v>
      </c>
    </row>
    <row r="42" spans="1:14" ht="15.75" thickTop="1" x14ac:dyDescent="0.25"/>
    <row r="44" spans="1:14" x14ac:dyDescent="0.25">
      <c r="H44" s="1">
        <f>+G46-G44</f>
        <v>0</v>
      </c>
    </row>
    <row r="45" spans="1:14" x14ac:dyDescent="0.25">
      <c r="E45" s="1">
        <v>69371920.909999996</v>
      </c>
    </row>
    <row r="46" spans="1:14" x14ac:dyDescent="0.25">
      <c r="E46" s="1">
        <v>258286.05</v>
      </c>
    </row>
    <row r="47" spans="1:14" ht="26.25" x14ac:dyDescent="0.4">
      <c r="B47" s="114" t="s">
        <v>28</v>
      </c>
      <c r="C47" s="114"/>
      <c r="D47" s="114"/>
      <c r="E47" s="1">
        <f>+E45-E46</f>
        <v>69113634.859999999</v>
      </c>
      <c r="F47" s="1">
        <f>+F40-F41</f>
        <v>42743258.57</v>
      </c>
      <c r="H47" s="1" t="s">
        <v>37</v>
      </c>
      <c r="I47" s="1" t="s">
        <v>36</v>
      </c>
    </row>
    <row r="48" spans="1:14" ht="26.25" x14ac:dyDescent="0.4">
      <c r="B48" s="113" t="s">
        <v>5</v>
      </c>
      <c r="C48" s="113"/>
      <c r="D48" s="113"/>
      <c r="F48" s="10"/>
      <c r="I48" s="1">
        <f>+G48-H48</f>
        <v>0</v>
      </c>
    </row>
    <row r="49" spans="1:10" ht="26.25" x14ac:dyDescent="0.4">
      <c r="B49" s="113" t="s">
        <v>175</v>
      </c>
      <c r="C49" s="113"/>
      <c r="D49" s="113"/>
      <c r="E49" s="8"/>
      <c r="F49" s="86">
        <v>66208326.729999997</v>
      </c>
      <c r="G49" s="5">
        <v>9883657.8300000001</v>
      </c>
      <c r="H49" s="1">
        <v>560857.74</v>
      </c>
    </row>
    <row r="50" spans="1:10" ht="26.25" x14ac:dyDescent="0.4">
      <c r="B50" s="84"/>
      <c r="C50" s="84"/>
      <c r="D50" s="85" t="s">
        <v>29</v>
      </c>
      <c r="E50" s="5"/>
      <c r="F50" s="5">
        <v>15883657.83</v>
      </c>
      <c r="G50" s="5">
        <v>6000000</v>
      </c>
      <c r="H50" s="92">
        <v>560857.74</v>
      </c>
    </row>
    <row r="51" spans="1:10" ht="26.25" x14ac:dyDescent="0.4">
      <c r="B51" s="84" t="s">
        <v>23</v>
      </c>
      <c r="C51" s="84"/>
      <c r="D51" s="86">
        <v>41764032.049999997</v>
      </c>
      <c r="E51" s="86">
        <v>30036650.850000001</v>
      </c>
      <c r="F51" s="5">
        <f>+F49-F50</f>
        <v>50324668.899999999</v>
      </c>
      <c r="G51" s="5">
        <f>SUM(G49:G50)</f>
        <v>15883657.83</v>
      </c>
      <c r="H51" s="1">
        <v>7567.52</v>
      </c>
    </row>
    <row r="52" spans="1:10" ht="26.25" x14ac:dyDescent="0.4">
      <c r="B52" s="84" t="s">
        <v>24</v>
      </c>
      <c r="C52" s="84"/>
      <c r="D52" s="86">
        <f>+F54</f>
        <v>39822.75</v>
      </c>
      <c r="E52" s="5" t="s">
        <v>57</v>
      </c>
      <c r="F52" s="5">
        <v>39152.75</v>
      </c>
      <c r="G52" s="5">
        <v>5261621.93</v>
      </c>
      <c r="H52" s="1">
        <f>+H50-H51</f>
        <v>553290.22</v>
      </c>
    </row>
    <row r="53" spans="1:10" ht="26.25" x14ac:dyDescent="0.4">
      <c r="B53" s="84" t="s">
        <v>25</v>
      </c>
      <c r="C53" s="84"/>
      <c r="D53" s="86">
        <v>70073954.060000002</v>
      </c>
      <c r="E53" s="5" t="s">
        <v>39</v>
      </c>
      <c r="F53" s="5">
        <v>670</v>
      </c>
      <c r="G53" s="5">
        <v>1127183.3</v>
      </c>
      <c r="H53" s="1">
        <v>2386915.7999999998</v>
      </c>
      <c r="I53" s="1">
        <v>1</v>
      </c>
      <c r="J53" s="1">
        <v>9</v>
      </c>
    </row>
    <row r="54" spans="1:10" ht="26.25" x14ac:dyDescent="0.4">
      <c r="B54" s="84" t="s">
        <v>26</v>
      </c>
      <c r="C54" s="84"/>
      <c r="D54" s="86"/>
      <c r="E54" s="5"/>
      <c r="F54" s="5">
        <f>+F52+F53</f>
        <v>39822.75</v>
      </c>
      <c r="G54" s="5">
        <f>+G52-G53</f>
        <v>4134438.63</v>
      </c>
      <c r="H54" s="1">
        <f>+G53-H53</f>
        <v>-1259732.4999999998</v>
      </c>
      <c r="I54" s="1">
        <f>+I53+1</f>
        <v>2</v>
      </c>
      <c r="J54" s="1">
        <v>10</v>
      </c>
    </row>
    <row r="55" spans="1:10" ht="26.25" x14ac:dyDescent="0.4">
      <c r="B55" s="87" t="s">
        <v>54</v>
      </c>
      <c r="C55" s="87"/>
      <c r="D55" s="108">
        <f>SUM(D51:D54)</f>
        <v>111877808.86</v>
      </c>
      <c r="E55" s="86">
        <v>32826264.59</v>
      </c>
      <c r="F55" s="5">
        <f>+F53-F54</f>
        <v>-39152.75</v>
      </c>
      <c r="G55" s="6">
        <v>2321540.14</v>
      </c>
      <c r="H55" s="1" t="s">
        <v>58</v>
      </c>
      <c r="I55" s="1">
        <f t="shared" ref="I55:I60" si="2">+I54+1</f>
        <v>3</v>
      </c>
      <c r="J55" s="1">
        <v>9</v>
      </c>
    </row>
    <row r="56" spans="1:10" ht="26.25" x14ac:dyDescent="0.4">
      <c r="B56" s="94">
        <v>69113634.859999999</v>
      </c>
      <c r="C56" s="84"/>
      <c r="D56" s="86">
        <v>45809917.439999998</v>
      </c>
      <c r="E56" s="1">
        <v>20398409.289999999</v>
      </c>
      <c r="G56" s="95">
        <f>98786.07+7706.3+2882.7+62181.61+7168.96</f>
        <v>178725.63999999998</v>
      </c>
      <c r="H56" s="1" t="s">
        <v>59</v>
      </c>
      <c r="I56" s="1">
        <f t="shared" si="2"/>
        <v>4</v>
      </c>
      <c r="J56" s="1">
        <v>10</v>
      </c>
    </row>
    <row r="57" spans="1:10" ht="15.75" thickBot="1" x14ac:dyDescent="0.3">
      <c r="B57" s="59">
        <v>510355.75</v>
      </c>
      <c r="D57" s="93">
        <v>181103242.43000001</v>
      </c>
      <c r="E57" s="1">
        <f>+D56+E56</f>
        <v>66208326.729999997</v>
      </c>
      <c r="F57" s="1">
        <v>71003358.439999998</v>
      </c>
      <c r="G57" s="9"/>
      <c r="H57" s="7"/>
      <c r="I57" s="1">
        <f t="shared" si="2"/>
        <v>5</v>
      </c>
      <c r="J57" s="1">
        <v>10</v>
      </c>
    </row>
    <row r="58" spans="1:10" ht="15.75" thickTop="1" x14ac:dyDescent="0.25">
      <c r="B58" s="8">
        <f>+B56-B57</f>
        <v>68603279.109999999</v>
      </c>
      <c r="D58" s="1">
        <f>+D53-D56</f>
        <v>24264036.620000005</v>
      </c>
      <c r="F58" s="1">
        <v>34105.75</v>
      </c>
      <c r="I58" s="1">
        <f t="shared" si="2"/>
        <v>6</v>
      </c>
      <c r="J58" s="1">
        <v>10</v>
      </c>
    </row>
    <row r="59" spans="1:10" x14ac:dyDescent="0.25">
      <c r="F59" s="1">
        <f>+F57-F58</f>
        <v>70969252.689999998</v>
      </c>
      <c r="H59" s="1">
        <v>366000</v>
      </c>
      <c r="I59" s="1">
        <f t="shared" si="2"/>
        <v>7</v>
      </c>
      <c r="J59" s="1">
        <v>10</v>
      </c>
    </row>
    <row r="60" spans="1:10" x14ac:dyDescent="0.25">
      <c r="G60" s="22">
        <v>1155790.3700000001</v>
      </c>
      <c r="H60" s="1">
        <v>36</v>
      </c>
      <c r="I60" s="1">
        <f t="shared" si="2"/>
        <v>8</v>
      </c>
      <c r="J60" s="1">
        <v>8</v>
      </c>
    </row>
    <row r="61" spans="1:10" x14ac:dyDescent="0.25">
      <c r="G61" s="1">
        <v>1165749.77</v>
      </c>
      <c r="H61" s="1">
        <f>+H59/H60</f>
        <v>10166.666666666666</v>
      </c>
      <c r="I61" s="1">
        <v>12669</v>
      </c>
      <c r="J61" s="1">
        <v>9</v>
      </c>
    </row>
    <row r="62" spans="1:10" x14ac:dyDescent="0.25">
      <c r="A62" s="111" t="s">
        <v>0</v>
      </c>
      <c r="B62" s="111"/>
      <c r="C62" s="111"/>
      <c r="D62" s="111"/>
      <c r="E62" s="111"/>
      <c r="F62" s="111"/>
      <c r="G62" s="25">
        <f>SUM(G60:G61)</f>
        <v>2321540.14</v>
      </c>
      <c r="H62" s="25">
        <f>+H59+I64</f>
        <v>456084</v>
      </c>
      <c r="I62" s="25">
        <f>+I61-H61</f>
        <v>2502.3333333333339</v>
      </c>
      <c r="J62" s="1">
        <v>8</v>
      </c>
    </row>
    <row r="63" spans="1:10" x14ac:dyDescent="0.25">
      <c r="A63" s="3" t="s">
        <v>6</v>
      </c>
      <c r="B63" s="3"/>
      <c r="C63" s="3"/>
      <c r="D63" s="3"/>
      <c r="E63" s="3"/>
      <c r="F63" s="29"/>
      <c r="G63" s="29"/>
      <c r="H63" s="29">
        <f>+H62/36</f>
        <v>12669</v>
      </c>
      <c r="I63" s="29">
        <v>36</v>
      </c>
      <c r="J63" s="1">
        <f>SUM(J53:J62)</f>
        <v>93</v>
      </c>
    </row>
    <row r="64" spans="1:10" x14ac:dyDescent="0.25">
      <c r="A64" s="112" t="s">
        <v>41</v>
      </c>
      <c r="B64" s="112"/>
      <c r="C64" s="112"/>
      <c r="D64" s="112"/>
      <c r="E64" s="112"/>
      <c r="F64" s="112"/>
      <c r="G64" s="23"/>
      <c r="H64" s="23"/>
      <c r="I64" s="23">
        <f>+I62*I63</f>
        <v>90084.000000000029</v>
      </c>
      <c r="J64" s="1">
        <f>+I64/H59</f>
        <v>0.2461311475409837</v>
      </c>
    </row>
    <row r="65" spans="1:11" x14ac:dyDescent="0.25">
      <c r="A65" s="60"/>
      <c r="B65" s="60"/>
      <c r="C65" s="60"/>
      <c r="D65" s="60"/>
      <c r="E65" s="60"/>
      <c r="F65" s="60"/>
      <c r="G65" s="61"/>
      <c r="H65" s="32" t="s">
        <v>7</v>
      </c>
      <c r="I65" s="32"/>
      <c r="J65" s="1">
        <v>0.08</v>
      </c>
    </row>
    <row r="66" spans="1:11" x14ac:dyDescent="0.25">
      <c r="A66" s="18"/>
      <c r="B66" s="18" t="s">
        <v>9</v>
      </c>
      <c r="C66" s="18"/>
      <c r="D66" s="18"/>
      <c r="E66" s="18" t="s">
        <v>10</v>
      </c>
      <c r="F66" s="18" t="s">
        <v>11</v>
      </c>
      <c r="G66" s="18"/>
      <c r="H66" s="19" t="s">
        <v>12</v>
      </c>
      <c r="I66" s="19" t="s">
        <v>13</v>
      </c>
      <c r="J66" s="1">
        <v>11487</v>
      </c>
      <c r="K66" s="1">
        <f>+H63-J66</f>
        <v>1182</v>
      </c>
    </row>
    <row r="67" spans="1:11" ht="39" x14ac:dyDescent="0.25">
      <c r="A67" s="60" t="s">
        <v>1</v>
      </c>
      <c r="B67" s="60" t="s">
        <v>14</v>
      </c>
      <c r="C67" s="60" t="s">
        <v>15</v>
      </c>
      <c r="D67" s="60" t="s">
        <v>2</v>
      </c>
      <c r="E67" s="18" t="s">
        <v>16</v>
      </c>
      <c r="F67" s="18" t="s">
        <v>17</v>
      </c>
      <c r="G67" s="18"/>
      <c r="H67" s="37" t="s">
        <v>18</v>
      </c>
      <c r="I67" s="19" t="s">
        <v>19</v>
      </c>
      <c r="J67" s="1">
        <v>36</v>
      </c>
      <c r="K67" s="1">
        <v>36</v>
      </c>
    </row>
    <row r="68" spans="1:11" x14ac:dyDescent="0.25">
      <c r="A68" s="3">
        <v>2005</v>
      </c>
      <c r="B68" s="3">
        <v>9348263.4900000002</v>
      </c>
      <c r="C68" s="3">
        <v>1367134.27</v>
      </c>
      <c r="D68" s="3">
        <v>10715397.76</v>
      </c>
      <c r="E68" s="3">
        <v>10580447.1</v>
      </c>
      <c r="F68" s="3"/>
      <c r="G68" s="3"/>
      <c r="H68" s="38"/>
      <c r="I68" s="38">
        <f t="shared" ref="I68:I81" si="3">D68-E68-F68-G68-H68</f>
        <v>134950.66000000015</v>
      </c>
      <c r="J68" s="1">
        <f>+J66*J67</f>
        <v>413532</v>
      </c>
      <c r="K68" s="1">
        <f>+K66*K67</f>
        <v>42552</v>
      </c>
    </row>
    <row r="69" spans="1:11" x14ac:dyDescent="0.25">
      <c r="A69" s="3">
        <v>2006</v>
      </c>
      <c r="B69" s="3">
        <v>39009840.240000002</v>
      </c>
      <c r="C69" s="3">
        <v>6957637.129999999</v>
      </c>
      <c r="D69" s="3">
        <f t="shared" ref="D69:D79" si="4">B69+C69</f>
        <v>45967477.370000005</v>
      </c>
      <c r="E69" s="3">
        <v>44836444.770000003</v>
      </c>
      <c r="F69" s="3"/>
      <c r="G69" s="3"/>
      <c r="H69" s="38"/>
      <c r="I69" s="38">
        <f t="shared" si="3"/>
        <v>1131032.6000000015</v>
      </c>
      <c r="J69" s="1">
        <f>+J68-H59</f>
        <v>47532</v>
      </c>
    </row>
    <row r="70" spans="1:11" x14ac:dyDescent="0.25">
      <c r="A70" s="3">
        <v>2007</v>
      </c>
      <c r="B70" s="3">
        <v>36762305.359999999</v>
      </c>
      <c r="C70" s="3">
        <v>9493506.0600000024</v>
      </c>
      <c r="D70" s="3">
        <f t="shared" si="4"/>
        <v>46255811.420000002</v>
      </c>
      <c r="E70" s="3">
        <v>44651215.120000005</v>
      </c>
      <c r="F70" s="3"/>
      <c r="G70" s="3"/>
      <c r="H70" s="38"/>
      <c r="I70" s="38">
        <f t="shared" si="3"/>
        <v>1604596.299999997</v>
      </c>
    </row>
    <row r="71" spans="1:11" x14ac:dyDescent="0.25">
      <c r="A71" s="3">
        <v>2008</v>
      </c>
      <c r="B71" s="3">
        <v>65017026.640000008</v>
      </c>
      <c r="C71" s="3">
        <v>21958831.639999993</v>
      </c>
      <c r="D71" s="3">
        <f t="shared" si="4"/>
        <v>86975858.280000001</v>
      </c>
      <c r="E71" s="62">
        <v>79209002.180000007</v>
      </c>
      <c r="F71" s="3"/>
      <c r="G71" s="3"/>
      <c r="H71" s="38"/>
      <c r="I71" s="38">
        <f t="shared" si="3"/>
        <v>7766856.099999994</v>
      </c>
    </row>
    <row r="72" spans="1:11" x14ac:dyDescent="0.25">
      <c r="A72" s="3">
        <v>2009</v>
      </c>
      <c r="B72" s="3">
        <v>80619711.879999995</v>
      </c>
      <c r="C72" s="3">
        <v>28436399.017999995</v>
      </c>
      <c r="D72" s="3">
        <f t="shared" si="4"/>
        <v>109056110.89799999</v>
      </c>
      <c r="E72" s="3">
        <v>99588056.949999914</v>
      </c>
      <c r="F72" s="3"/>
      <c r="G72" s="3"/>
      <c r="H72" s="38"/>
      <c r="I72" s="38">
        <f t="shared" si="3"/>
        <v>9468053.9480000734</v>
      </c>
    </row>
    <row r="73" spans="1:11" x14ac:dyDescent="0.25">
      <c r="A73" s="3">
        <v>2010</v>
      </c>
      <c r="B73" s="3">
        <v>126811599.95</v>
      </c>
      <c r="C73" s="3">
        <v>37113788.979999997</v>
      </c>
      <c r="D73" s="3">
        <f t="shared" si="4"/>
        <v>163925388.93000001</v>
      </c>
      <c r="E73" s="3">
        <v>102907091.36000004</v>
      </c>
      <c r="F73" s="3">
        <v>57612428.650000006</v>
      </c>
      <c r="G73" s="3"/>
      <c r="H73" s="38"/>
      <c r="I73" s="38">
        <f t="shared" si="3"/>
        <v>3405868.9199999571</v>
      </c>
    </row>
    <row r="74" spans="1:11" x14ac:dyDescent="0.25">
      <c r="A74" s="3">
        <v>2011</v>
      </c>
      <c r="B74" s="3">
        <v>146745401.44</v>
      </c>
      <c r="C74" s="3">
        <v>29541438.890000001</v>
      </c>
      <c r="D74" s="3">
        <f t="shared" si="4"/>
        <v>176286840.32999998</v>
      </c>
      <c r="E74" s="3">
        <v>94871369.540000007</v>
      </c>
      <c r="F74" s="3">
        <v>77827479.560000002</v>
      </c>
      <c r="G74" s="3"/>
      <c r="H74" s="38"/>
      <c r="I74" s="38">
        <f t="shared" si="3"/>
        <v>3587991.2299999744</v>
      </c>
    </row>
    <row r="75" spans="1:11" x14ac:dyDescent="0.25">
      <c r="A75" s="3">
        <v>2012</v>
      </c>
      <c r="B75" s="3">
        <v>56228781.310000002</v>
      </c>
      <c r="C75" s="3">
        <v>17069203.739999998</v>
      </c>
      <c r="D75" s="3">
        <f t="shared" si="4"/>
        <v>73297985.049999997</v>
      </c>
      <c r="E75" s="3">
        <f>72879077.6+418907.45-2614732.37</f>
        <v>70683252.679999992</v>
      </c>
      <c r="F75" s="3"/>
      <c r="G75" s="3"/>
      <c r="H75" s="38">
        <v>2614732.37</v>
      </c>
      <c r="I75" s="38">
        <f t="shared" si="3"/>
        <v>4.6566128730773926E-9</v>
      </c>
    </row>
    <row r="76" spans="1:11" x14ac:dyDescent="0.25">
      <c r="A76" s="3">
        <v>2013</v>
      </c>
      <c r="B76" s="3">
        <v>6227468.25</v>
      </c>
      <c r="C76" s="3">
        <v>4215335.42</v>
      </c>
      <c r="D76" s="3">
        <f t="shared" si="4"/>
        <v>10442803.67</v>
      </c>
      <c r="E76" s="3">
        <v>10442803.670000002</v>
      </c>
      <c r="F76" s="3"/>
      <c r="G76" s="3"/>
      <c r="H76" s="38"/>
      <c r="I76" s="38">
        <f t="shared" si="3"/>
        <v>-1.862645149230957E-9</v>
      </c>
    </row>
    <row r="77" spans="1:11" x14ac:dyDescent="0.25">
      <c r="A77" s="3">
        <v>2014</v>
      </c>
      <c r="B77" s="3">
        <v>11228882.060000001</v>
      </c>
      <c r="C77" s="3">
        <f>716146.95+146185.71+12949.74+201692.71</f>
        <v>1076975.1099999999</v>
      </c>
      <c r="D77" s="3">
        <f t="shared" si="4"/>
        <v>12305857.17</v>
      </c>
      <c r="E77" s="3">
        <v>462801.51999999996</v>
      </c>
      <c r="F77" s="3"/>
      <c r="G77" s="3"/>
      <c r="H77" s="38">
        <f>2328626.48+3587981.23</f>
        <v>5916607.71</v>
      </c>
      <c r="I77" s="38">
        <f t="shared" si="3"/>
        <v>5926447.9400000004</v>
      </c>
    </row>
    <row r="78" spans="1:11" x14ac:dyDescent="0.25">
      <c r="A78" s="3">
        <v>2015</v>
      </c>
      <c r="B78" s="3">
        <v>2218012.2599999998</v>
      </c>
      <c r="C78" s="3">
        <f>340882.33+64699.43+3078.36+3662.72</f>
        <v>412322.83999999997</v>
      </c>
      <c r="D78" s="3">
        <f t="shared" si="4"/>
        <v>2630335.0999999996</v>
      </c>
      <c r="E78" s="3">
        <v>0</v>
      </c>
      <c r="F78" s="3">
        <v>0</v>
      </c>
      <c r="G78" s="3"/>
      <c r="H78" s="38">
        <v>0</v>
      </c>
      <c r="I78" s="38">
        <f t="shared" si="3"/>
        <v>2630335.0999999996</v>
      </c>
    </row>
    <row r="79" spans="1:11" x14ac:dyDescent="0.25">
      <c r="A79" s="63">
        <v>2016</v>
      </c>
      <c r="B79" s="3">
        <v>362875.98</v>
      </c>
      <c r="C79" s="3">
        <v>118142.39</v>
      </c>
      <c r="D79" s="3">
        <f t="shared" si="4"/>
        <v>481018.37</v>
      </c>
      <c r="E79" s="3">
        <v>0</v>
      </c>
      <c r="F79" s="3">
        <v>0</v>
      </c>
      <c r="G79" s="3"/>
      <c r="H79" s="38">
        <f>378394.17+2630335.1+68097.13</f>
        <v>3076826.4</v>
      </c>
      <c r="I79" s="38">
        <f t="shared" si="3"/>
        <v>-2595808.0299999998</v>
      </c>
    </row>
    <row r="80" spans="1:11" x14ac:dyDescent="0.25">
      <c r="A80" s="64">
        <v>2017</v>
      </c>
      <c r="B80" s="18">
        <f>253094.2+272280</f>
        <v>525374.19999999995</v>
      </c>
      <c r="C80" s="18">
        <f>72899.44+13566.08+346134.57</f>
        <v>432600.09</v>
      </c>
      <c r="D80" s="18">
        <f>B80+C80</f>
        <v>957974.29</v>
      </c>
      <c r="E80" s="18">
        <v>0</v>
      </c>
      <c r="F80" s="18">
        <v>0</v>
      </c>
      <c r="G80" s="18"/>
      <c r="H80" s="19">
        <v>0</v>
      </c>
      <c r="I80" s="19">
        <f t="shared" si="3"/>
        <v>957974.29</v>
      </c>
    </row>
    <row r="81" spans="1:9" x14ac:dyDescent="0.25">
      <c r="A81" s="64">
        <v>2018</v>
      </c>
      <c r="B81" s="2">
        <v>506188.4</v>
      </c>
      <c r="C81" s="2">
        <v>67865.39</v>
      </c>
      <c r="D81" s="18">
        <f>B81+C81</f>
        <v>574053.79</v>
      </c>
      <c r="E81" s="2">
        <v>0</v>
      </c>
      <c r="F81" s="2">
        <v>0</v>
      </c>
      <c r="G81" s="2"/>
      <c r="H81" s="2">
        <v>0</v>
      </c>
      <c r="I81" s="2">
        <f t="shared" si="3"/>
        <v>574053.79</v>
      </c>
    </row>
    <row r="82" spans="1:9" ht="15.75" thickBot="1" x14ac:dyDescent="0.3">
      <c r="A82" s="3" t="s">
        <v>3</v>
      </c>
      <c r="B82" s="43">
        <f>SUM(B68:B80)</f>
        <v>581105543.05999994</v>
      </c>
      <c r="C82" s="43">
        <f>SUM(C68:C80)</f>
        <v>158193315.57799998</v>
      </c>
      <c r="D82" s="43">
        <f>SUM(D68:D80)</f>
        <v>739298858.63799977</v>
      </c>
      <c r="E82" s="43">
        <f>SUM(E68:E81)</f>
        <v>558232484.88999999</v>
      </c>
      <c r="F82" s="43">
        <f>SUM(F73:F74)</f>
        <v>135439908.21000001</v>
      </c>
      <c r="G82" s="43"/>
      <c r="H82" s="65">
        <f>SUM(H75:H79)</f>
        <v>11608166.48</v>
      </c>
      <c r="I82" s="47">
        <f>SUM(I68:I81)</f>
        <v>34592352.847999997</v>
      </c>
    </row>
    <row r="83" spans="1:9" ht="15.75" thickTop="1" x14ac:dyDescent="0.25">
      <c r="A83" s="3"/>
      <c r="B83" s="3"/>
      <c r="C83" s="3"/>
      <c r="D83" s="3"/>
      <c r="E83" s="3"/>
      <c r="F83" s="3"/>
      <c r="G83" s="3"/>
      <c r="H83" s="3"/>
      <c r="I83" s="3"/>
    </row>
    <row r="84" spans="1:9" x14ac:dyDescent="0.25">
      <c r="A84" s="3"/>
      <c r="B84" s="3"/>
      <c r="C84" s="3"/>
      <c r="D84" s="3"/>
      <c r="E84" s="3"/>
      <c r="F84" s="3"/>
      <c r="G84" s="3"/>
      <c r="H84" s="3"/>
      <c r="I84" s="3"/>
    </row>
    <row r="85" spans="1:9" ht="18" x14ac:dyDescent="0.25">
      <c r="A85" s="3"/>
      <c r="B85" s="49" t="s">
        <v>20</v>
      </c>
      <c r="C85" s="3"/>
      <c r="D85" s="3"/>
      <c r="E85" s="3"/>
      <c r="F85" s="3"/>
      <c r="G85" s="3"/>
      <c r="H85" s="3"/>
      <c r="I85" s="3"/>
    </row>
    <row r="86" spans="1:9" x14ac:dyDescent="0.25">
      <c r="A86" s="3"/>
      <c r="B86" s="3"/>
      <c r="C86" s="3"/>
      <c r="D86" s="3"/>
      <c r="E86" s="3"/>
      <c r="F86" s="3"/>
      <c r="G86" s="3"/>
      <c r="H86" s="3"/>
      <c r="I86" s="3"/>
    </row>
    <row r="87" spans="1:9" x14ac:dyDescent="0.25">
      <c r="A87" s="3"/>
      <c r="B87" s="3"/>
      <c r="C87" s="3"/>
      <c r="D87" s="3"/>
      <c r="E87" s="3"/>
      <c r="F87" s="3"/>
      <c r="G87" s="3"/>
      <c r="H87" s="3"/>
      <c r="I87" s="3"/>
    </row>
    <row r="88" spans="1:9" x14ac:dyDescent="0.25">
      <c r="A88" s="3"/>
      <c r="B88" s="3"/>
      <c r="C88" s="3"/>
      <c r="D88" s="3"/>
      <c r="E88" s="3"/>
      <c r="F88" s="3"/>
      <c r="G88" s="3"/>
      <c r="H88" s="3"/>
      <c r="I88" s="3"/>
    </row>
    <row r="89" spans="1:9" ht="18.75" x14ac:dyDescent="0.25">
      <c r="B89" s="66" t="s">
        <v>21</v>
      </c>
      <c r="C89" s="66"/>
      <c r="D89" s="66"/>
      <c r="E89" s="67"/>
      <c r="F89" s="67"/>
      <c r="G89" s="3"/>
      <c r="H89" s="3"/>
      <c r="I89" s="3"/>
    </row>
    <row r="90" spans="1:9" x14ac:dyDescent="0.25">
      <c r="B90" s="3" t="s">
        <v>22</v>
      </c>
      <c r="C90" s="3"/>
      <c r="D90" s="3"/>
      <c r="E90" s="3"/>
      <c r="F90" s="3"/>
      <c r="G90" s="3"/>
      <c r="H90" s="3"/>
      <c r="I90" s="3"/>
    </row>
    <row r="91" spans="1:9" x14ac:dyDescent="0.25">
      <c r="B91" s="3" t="s">
        <v>32</v>
      </c>
      <c r="C91" s="3"/>
      <c r="D91" s="3"/>
      <c r="E91" s="3"/>
      <c r="F91" s="3"/>
      <c r="G91" s="3"/>
      <c r="H91" s="3"/>
      <c r="I91" s="3"/>
    </row>
    <row r="92" spans="1:9" ht="15.75" thickBot="1" x14ac:dyDescent="0.3">
      <c r="A92" s="3"/>
      <c r="B92" s="3" t="s">
        <v>3</v>
      </c>
      <c r="C92" s="3"/>
      <c r="D92" s="3"/>
      <c r="E92" s="3"/>
      <c r="F92" s="3"/>
      <c r="G92" s="57"/>
      <c r="H92" s="3"/>
      <c r="I92" s="3"/>
    </row>
    <row r="93" spans="1:9" ht="15.75" thickBot="1" x14ac:dyDescent="0.3">
      <c r="A93" s="3"/>
      <c r="B93" s="3" t="s">
        <v>33</v>
      </c>
      <c r="C93" s="50"/>
      <c r="D93" s="50"/>
      <c r="E93" s="50"/>
      <c r="F93" s="50"/>
      <c r="G93" s="58"/>
      <c r="H93" s="50"/>
      <c r="I93" s="50"/>
    </row>
    <row r="94" spans="1:9" ht="15.75" thickTop="1" x14ac:dyDescent="0.25">
      <c r="A94" s="3"/>
      <c r="B94" s="3"/>
      <c r="C94" s="3"/>
      <c r="D94" s="3"/>
      <c r="E94" s="3"/>
      <c r="F94" s="3"/>
      <c r="G94" s="3"/>
      <c r="H94" s="3"/>
      <c r="I94" s="3"/>
    </row>
    <row r="95" spans="1:9" x14ac:dyDescent="0.25">
      <c r="A95" s="3"/>
      <c r="B95" s="3"/>
      <c r="C95" s="3"/>
      <c r="D95" s="3"/>
      <c r="E95" s="3">
        <v>2718468.74</v>
      </c>
      <c r="F95" s="3"/>
      <c r="G95" s="3"/>
      <c r="H95" s="3"/>
      <c r="I95" s="3"/>
    </row>
    <row r="96" spans="1:9" x14ac:dyDescent="0.25">
      <c r="A96" s="3"/>
      <c r="B96" s="3"/>
      <c r="C96" s="90">
        <v>5418502.3499999996</v>
      </c>
      <c r="D96" s="3"/>
      <c r="E96" s="3">
        <v>2308941.52</v>
      </c>
      <c r="F96" s="3"/>
      <c r="G96" s="3"/>
      <c r="H96" s="3"/>
      <c r="I96" s="3"/>
    </row>
    <row r="97" spans="1:9" ht="26.25" x14ac:dyDescent="0.4">
      <c r="A97" s="3"/>
      <c r="B97" s="3"/>
      <c r="C97" s="90">
        <v>906582.1</v>
      </c>
      <c r="D97" s="3"/>
      <c r="E97" s="3">
        <f>+E95-E96</f>
        <v>409527.2200000002</v>
      </c>
      <c r="F97" s="3"/>
      <c r="G97" s="86"/>
      <c r="H97" s="3"/>
      <c r="I97" s="3"/>
    </row>
    <row r="98" spans="1:9" x14ac:dyDescent="0.25">
      <c r="A98" s="1" t="s">
        <v>42</v>
      </c>
      <c r="C98" s="90">
        <v>1147472.22</v>
      </c>
      <c r="E98" s="1">
        <f>+E97/E95</f>
        <v>0.15064628626187557</v>
      </c>
    </row>
    <row r="99" spans="1:9" x14ac:dyDescent="0.25">
      <c r="C99" s="90">
        <v>796950</v>
      </c>
    </row>
    <row r="100" spans="1:9" x14ac:dyDescent="0.25">
      <c r="A100" s="21" t="s">
        <v>43</v>
      </c>
      <c r="C100" s="90">
        <v>572902.35</v>
      </c>
    </row>
    <row r="101" spans="1:9" x14ac:dyDescent="0.25">
      <c r="A101" s="1">
        <v>43369</v>
      </c>
      <c r="C101" s="90">
        <v>1234207.01</v>
      </c>
    </row>
    <row r="102" spans="1:9" x14ac:dyDescent="0.25">
      <c r="C102" s="90">
        <v>1885471.69</v>
      </c>
    </row>
    <row r="103" spans="1:9" x14ac:dyDescent="0.25">
      <c r="C103" s="90">
        <v>1724742.13</v>
      </c>
    </row>
    <row r="104" spans="1:9" x14ac:dyDescent="0.25">
      <c r="C104" s="90">
        <v>6043699.2599999998</v>
      </c>
      <c r="H104" s="1">
        <v>29277348.050000001</v>
      </c>
    </row>
    <row r="105" spans="1:9" ht="15.75" thickBot="1" x14ac:dyDescent="0.3">
      <c r="C105" s="91">
        <v>2060467.59</v>
      </c>
      <c r="E105" s="1">
        <v>157165855.13999999</v>
      </c>
      <c r="F105" s="1">
        <v>52600</v>
      </c>
      <c r="H105" s="1">
        <v>29214550.640000001</v>
      </c>
    </row>
    <row r="106" spans="1:9" x14ac:dyDescent="0.25">
      <c r="C106" s="1">
        <f>SUM(C95:C105)</f>
        <v>21790996.699999999</v>
      </c>
      <c r="E106" s="1">
        <v>35916811.5</v>
      </c>
      <c r="F106" s="1">
        <v>544000</v>
      </c>
      <c r="H106" s="1">
        <f>+H104-H105</f>
        <v>62797.410000000149</v>
      </c>
    </row>
    <row r="107" spans="1:9" x14ac:dyDescent="0.25">
      <c r="E107" s="1">
        <v>9562780</v>
      </c>
      <c r="F107" s="1">
        <f>SUM(F105:F106)</f>
        <v>596600</v>
      </c>
    </row>
    <row r="108" spans="1:9" x14ac:dyDescent="0.25">
      <c r="E108" s="1">
        <f>SUM(E105:E107)</f>
        <v>202645446.63999999</v>
      </c>
    </row>
    <row r="111" spans="1:9" x14ac:dyDescent="0.25">
      <c r="C111" s="68">
        <v>202645446.63999999</v>
      </c>
      <c r="D111" s="77">
        <v>626626.25</v>
      </c>
      <c r="E111" s="68">
        <v>202645446.63999999</v>
      </c>
      <c r="G111" s="69"/>
    </row>
    <row r="112" spans="1:9" x14ac:dyDescent="0.25">
      <c r="C112" s="68">
        <v>596600</v>
      </c>
      <c r="D112" s="77">
        <v>32826264.59</v>
      </c>
      <c r="E112" s="68">
        <v>596600</v>
      </c>
    </row>
    <row r="113" spans="3:5" x14ac:dyDescent="0.25">
      <c r="C113" s="68">
        <v>2645244.7799999998</v>
      </c>
      <c r="D113" s="89">
        <v>74834993.599999994</v>
      </c>
      <c r="E113" s="68">
        <v>404901.21</v>
      </c>
    </row>
    <row r="114" spans="3:5" x14ac:dyDescent="0.25">
      <c r="C114" s="68">
        <v>18600</v>
      </c>
      <c r="E114" s="68">
        <v>18600</v>
      </c>
    </row>
    <row r="115" spans="3:5" x14ac:dyDescent="0.25">
      <c r="C115" s="68">
        <v>53100</v>
      </c>
      <c r="D115" s="1">
        <f>SUM(D111:D114)</f>
        <v>108287884.44</v>
      </c>
      <c r="E115" s="68">
        <v>53100</v>
      </c>
    </row>
    <row r="116" spans="3:5" x14ac:dyDescent="0.25">
      <c r="C116" s="68"/>
      <c r="E116" s="68"/>
    </row>
    <row r="117" spans="3:5" x14ac:dyDescent="0.25">
      <c r="C117" s="68">
        <v>945000</v>
      </c>
      <c r="E117" s="68">
        <v>945000</v>
      </c>
    </row>
    <row r="118" spans="3:5" x14ac:dyDescent="0.25">
      <c r="C118" s="68">
        <v>3999725</v>
      </c>
      <c r="E118" s="68">
        <v>3999725</v>
      </c>
    </row>
    <row r="119" spans="3:5" x14ac:dyDescent="0.25">
      <c r="C119" s="68">
        <v>29251571.420000002</v>
      </c>
      <c r="E119" s="68">
        <v>29251571.420000002</v>
      </c>
    </row>
    <row r="120" spans="3:5" x14ac:dyDescent="0.25">
      <c r="C120" s="68">
        <v>16064680.6</v>
      </c>
      <c r="E120" s="68">
        <v>16064680.6</v>
      </c>
    </row>
    <row r="121" spans="3:5" x14ac:dyDescent="0.25">
      <c r="C121" s="68">
        <v>2727485.5</v>
      </c>
      <c r="E121" s="68">
        <v>2727485.5</v>
      </c>
    </row>
    <row r="122" spans="3:5" x14ac:dyDescent="0.25">
      <c r="C122" s="68">
        <v>951948.77</v>
      </c>
      <c r="E122" s="68">
        <v>951948.77</v>
      </c>
    </row>
    <row r="123" spans="3:5" x14ac:dyDescent="0.25">
      <c r="C123" s="68">
        <v>1224428</v>
      </c>
      <c r="E123" s="68">
        <v>1224428</v>
      </c>
    </row>
    <row r="124" spans="3:5" ht="15.75" thickBot="1" x14ac:dyDescent="0.3">
      <c r="C124" s="70">
        <v>321314.62</v>
      </c>
      <c r="E124" s="70">
        <v>321314.62</v>
      </c>
    </row>
    <row r="125" spans="3:5" x14ac:dyDescent="0.25">
      <c r="C125" s="1">
        <f>SUM(C110:C124)</f>
        <v>261445145.32999998</v>
      </c>
      <c r="E125" s="1">
        <f>SUM(E110:E124)</f>
        <v>259204801.75999999</v>
      </c>
    </row>
    <row r="126" spans="3:5" x14ac:dyDescent="0.25">
      <c r="C126" s="71">
        <v>244377135.59999999</v>
      </c>
    </row>
    <row r="127" spans="3:5" x14ac:dyDescent="0.25">
      <c r="C127" s="69">
        <f>+C125-C126</f>
        <v>17068009.729999989</v>
      </c>
    </row>
    <row r="128" spans="3:5" x14ac:dyDescent="0.25">
      <c r="C128" s="1">
        <f>+C127/C125</f>
        <v>6.5283330116749694E-2</v>
      </c>
    </row>
    <row r="129" spans="3:9" x14ac:dyDescent="0.25">
      <c r="C129" s="69" t="s">
        <v>44</v>
      </c>
    </row>
    <row r="132" spans="3:9" x14ac:dyDescent="0.25">
      <c r="C132" s="1">
        <v>1416876.91</v>
      </c>
      <c r="D132" s="1">
        <v>3235239.91</v>
      </c>
    </row>
    <row r="133" spans="3:9" x14ac:dyDescent="0.25">
      <c r="C133" s="1">
        <v>1292052</v>
      </c>
      <c r="D133" s="1">
        <v>2873120.58</v>
      </c>
    </row>
    <row r="134" spans="3:9" ht="18.75" x14ac:dyDescent="0.3">
      <c r="C134" s="1">
        <f>+C132-C133</f>
        <v>124824.90999999992</v>
      </c>
      <c r="D134" s="1">
        <f>+D132-D133</f>
        <v>362119.33000000007</v>
      </c>
      <c r="E134" s="8" t="s">
        <v>45</v>
      </c>
      <c r="H134" s="83">
        <v>17538168</v>
      </c>
    </row>
    <row r="135" spans="3:9" ht="18.75" x14ac:dyDescent="0.3">
      <c r="C135" s="1">
        <f>+C134/C132</f>
        <v>8.8098626718392872E-2</v>
      </c>
      <c r="D135" s="1">
        <v>1811542.22</v>
      </c>
      <c r="E135" s="1" t="s">
        <v>46</v>
      </c>
      <c r="H135" s="83">
        <v>738322.76</v>
      </c>
    </row>
    <row r="136" spans="3:9" ht="18.75" x14ac:dyDescent="0.3">
      <c r="D136" s="1">
        <f>SUM(D134:D135)</f>
        <v>2173661.5499999998</v>
      </c>
      <c r="E136" s="1" t="s">
        <v>47</v>
      </c>
      <c r="H136" s="83">
        <f>SUM(H134:H135)</f>
        <v>18276490.760000002</v>
      </c>
    </row>
    <row r="137" spans="3:9" ht="18.75" x14ac:dyDescent="0.3">
      <c r="D137" s="1">
        <v>1053599.1399999999</v>
      </c>
      <c r="E137" s="8" t="s">
        <v>48</v>
      </c>
      <c r="H137" s="83"/>
    </row>
    <row r="138" spans="3:9" x14ac:dyDescent="0.25">
      <c r="D138" s="1">
        <f>SUM(D136:D137)</f>
        <v>3227260.6899999995</v>
      </c>
      <c r="E138" s="1" t="s">
        <v>47</v>
      </c>
    </row>
    <row r="139" spans="3:9" x14ac:dyDescent="0.25">
      <c r="H139" s="72">
        <v>18276490.760000002</v>
      </c>
      <c r="I139" s="24"/>
    </row>
    <row r="140" spans="3:9" x14ac:dyDescent="0.25">
      <c r="C140" s="72">
        <v>20651452.760000002</v>
      </c>
      <c r="D140" s="74">
        <v>1100000</v>
      </c>
      <c r="E140" s="72">
        <v>4354676.33</v>
      </c>
      <c r="H140" s="73">
        <v>0</v>
      </c>
      <c r="I140" s="24"/>
    </row>
    <row r="141" spans="3:9" x14ac:dyDescent="0.25">
      <c r="C141" s="73">
        <v>0</v>
      </c>
      <c r="D141" s="74">
        <v>5800000</v>
      </c>
      <c r="E141" s="72">
        <v>2135064.96</v>
      </c>
      <c r="H141" s="72">
        <v>456040.34</v>
      </c>
      <c r="I141" s="24"/>
    </row>
    <row r="142" spans="3:9" x14ac:dyDescent="0.25">
      <c r="C142" s="72">
        <v>456040.34</v>
      </c>
      <c r="D142" s="74">
        <f>SUM(D140:D141)</f>
        <v>6900000</v>
      </c>
      <c r="E142" s="72">
        <v>349664.83</v>
      </c>
      <c r="H142" s="72">
        <v>22526273.670000002</v>
      </c>
      <c r="I142" s="24"/>
    </row>
    <row r="143" spans="3:9" x14ac:dyDescent="0.25">
      <c r="C143" s="72">
        <v>22526273.670000002</v>
      </c>
      <c r="D143" s="74"/>
      <c r="E143" s="73">
        <v>0</v>
      </c>
      <c r="H143" s="72">
        <v>13065821.41</v>
      </c>
      <c r="I143" s="24"/>
    </row>
    <row r="144" spans="3:9" x14ac:dyDescent="0.25">
      <c r="C144" s="72">
        <v>13065821.41</v>
      </c>
      <c r="D144" s="74"/>
      <c r="E144" s="72">
        <v>261670.26</v>
      </c>
      <c r="H144" s="72">
        <v>5000718.68</v>
      </c>
      <c r="I144" s="24"/>
    </row>
    <row r="145" spans="3:9" x14ac:dyDescent="0.25">
      <c r="C145" s="72">
        <v>5000718.68</v>
      </c>
      <c r="D145" s="74"/>
      <c r="E145" s="72">
        <v>2787983.18</v>
      </c>
      <c r="H145" s="72">
        <v>1811542.22</v>
      </c>
      <c r="I145" s="24"/>
    </row>
    <row r="146" spans="3:9" x14ac:dyDescent="0.25">
      <c r="C146" s="72">
        <v>3227260.69</v>
      </c>
      <c r="D146" s="74"/>
      <c r="E146" s="72">
        <v>1695649.63</v>
      </c>
      <c r="H146" s="1">
        <f>SUM(H139:H145)</f>
        <v>61136887.080000006</v>
      </c>
    </row>
    <row r="147" spans="3:9" x14ac:dyDescent="0.25">
      <c r="C147" s="1">
        <f>SUM(C140:C146)</f>
        <v>64927567.550000004</v>
      </c>
      <c r="E147" s="72">
        <v>3514161.41</v>
      </c>
    </row>
    <row r="148" spans="3:9" x14ac:dyDescent="0.25">
      <c r="E148" s="72">
        <v>6900000</v>
      </c>
    </row>
    <row r="149" spans="3:9" ht="15.75" thickBot="1" x14ac:dyDescent="0.3">
      <c r="E149" s="75">
        <v>5470787.5199999996</v>
      </c>
    </row>
    <row r="151" spans="3:9" x14ac:dyDescent="0.25">
      <c r="E151" s="1">
        <f>SUM(E140:E150)</f>
        <v>27469658.120000001</v>
      </c>
      <c r="G151" s="16"/>
    </row>
    <row r="152" spans="3:9" x14ac:dyDescent="0.25">
      <c r="C152" s="72">
        <v>20651452.760000002</v>
      </c>
      <c r="G152" s="14"/>
    </row>
    <row r="153" spans="3:9" ht="15.75" thickBot="1" x14ac:dyDescent="0.3">
      <c r="C153" s="73">
        <v>0</v>
      </c>
      <c r="E153" s="1">
        <v>13704157.939999999</v>
      </c>
      <c r="G153" s="76"/>
    </row>
    <row r="154" spans="3:9" x14ac:dyDescent="0.25">
      <c r="C154" s="72">
        <v>456040.34</v>
      </c>
      <c r="E154" s="1">
        <v>2003576.61</v>
      </c>
    </row>
    <row r="155" spans="3:9" x14ac:dyDescent="0.25">
      <c r="C155" s="72">
        <v>22526273.670000002</v>
      </c>
      <c r="E155" s="1">
        <f>SUM(E153:E154)</f>
        <v>15707734.549999999</v>
      </c>
    </row>
    <row r="156" spans="3:9" x14ac:dyDescent="0.25">
      <c r="C156" s="72">
        <v>13065821.41</v>
      </c>
    </row>
    <row r="157" spans="3:9" x14ac:dyDescent="0.25">
      <c r="C157" s="72">
        <v>5000718.68</v>
      </c>
    </row>
    <row r="158" spans="3:9" x14ac:dyDescent="0.25">
      <c r="C158" s="72">
        <v>1811542.22</v>
      </c>
    </row>
    <row r="159" spans="3:9" x14ac:dyDescent="0.25">
      <c r="C159" s="1">
        <f>SUM(C152:C158)</f>
        <v>63511849.080000006</v>
      </c>
      <c r="F159" s="1">
        <v>2718468.74</v>
      </c>
    </row>
    <row r="160" spans="3:9" x14ac:dyDescent="0.25">
      <c r="F160" s="1">
        <v>2308941.52</v>
      </c>
    </row>
    <row r="161" spans="3:6" x14ac:dyDescent="0.25">
      <c r="F161" s="1">
        <f>+F159-F160</f>
        <v>409527.2200000002</v>
      </c>
    </row>
    <row r="162" spans="3:6" x14ac:dyDescent="0.25">
      <c r="C162" s="77">
        <v>24918504.059999999</v>
      </c>
      <c r="D162" s="78"/>
      <c r="E162" s="79">
        <v>32826264.59</v>
      </c>
      <c r="F162" s="1">
        <f>+F161/F159</f>
        <v>0.15064628626187557</v>
      </c>
    </row>
    <row r="164" spans="3:6" x14ac:dyDescent="0.25">
      <c r="C164" s="1">
        <v>32826264.59</v>
      </c>
    </row>
    <row r="165" spans="3:6" x14ac:dyDescent="0.25">
      <c r="C165" s="1">
        <v>24918504.059999999</v>
      </c>
    </row>
    <row r="166" spans="3:6" x14ac:dyDescent="0.25">
      <c r="C166" s="1">
        <f>+C164-C165</f>
        <v>7907760.5300000012</v>
      </c>
    </row>
    <row r="167" spans="3:6" ht="21" x14ac:dyDescent="0.35">
      <c r="E167" s="82">
        <v>29081111</v>
      </c>
    </row>
    <row r="168" spans="3:6" ht="21" x14ac:dyDescent="0.35">
      <c r="E168" s="82">
        <v>29081111</v>
      </c>
    </row>
    <row r="169" spans="3:6" ht="21" x14ac:dyDescent="0.35">
      <c r="E169" s="82">
        <v>29081111</v>
      </c>
    </row>
    <row r="170" spans="3:6" ht="21" x14ac:dyDescent="0.35">
      <c r="E170" s="82">
        <v>29081111</v>
      </c>
    </row>
    <row r="171" spans="3:6" ht="21" x14ac:dyDescent="0.35">
      <c r="E171" s="82">
        <v>29081111</v>
      </c>
    </row>
    <row r="172" spans="3:6" ht="21" x14ac:dyDescent="0.35">
      <c r="E172" s="82">
        <v>29081111</v>
      </c>
    </row>
    <row r="173" spans="3:6" ht="21" x14ac:dyDescent="0.35">
      <c r="E173" s="82">
        <v>2244752</v>
      </c>
    </row>
    <row r="174" spans="3:6" ht="21" x14ac:dyDescent="0.35">
      <c r="E174" s="82">
        <v>29081111</v>
      </c>
    </row>
    <row r="175" spans="3:6" ht="21" x14ac:dyDescent="0.35">
      <c r="E175" s="82">
        <v>29081111</v>
      </c>
    </row>
    <row r="176" spans="3:6" ht="21" x14ac:dyDescent="0.35">
      <c r="E176" s="82">
        <v>29081111</v>
      </c>
    </row>
    <row r="177" spans="4:5" ht="21" x14ac:dyDescent="0.35">
      <c r="E177" s="82">
        <v>29081111</v>
      </c>
    </row>
    <row r="178" spans="4:5" ht="21" x14ac:dyDescent="0.35">
      <c r="E178" s="82">
        <v>1683564</v>
      </c>
    </row>
    <row r="179" spans="4:5" ht="21" x14ac:dyDescent="0.35">
      <c r="E179" s="82">
        <v>29081111</v>
      </c>
    </row>
    <row r="180" spans="4:5" ht="21" x14ac:dyDescent="0.35">
      <c r="E180" s="82">
        <v>748252</v>
      </c>
    </row>
    <row r="181" spans="4:5" ht="21" x14ac:dyDescent="0.35">
      <c r="E181" s="82">
        <v>27607286.359999999</v>
      </c>
    </row>
    <row r="182" spans="4:5" ht="21" x14ac:dyDescent="0.35">
      <c r="E182" s="81">
        <f>SUM(E167:E181)</f>
        <v>352176075.36000001</v>
      </c>
    </row>
    <row r="183" spans="4:5" ht="21" x14ac:dyDescent="0.35">
      <c r="E183" s="80"/>
    </row>
    <row r="184" spans="4:5" ht="21" x14ac:dyDescent="0.35">
      <c r="E184" s="80">
        <f>SUM(E182:E183)</f>
        <v>352176075.36000001</v>
      </c>
    </row>
    <row r="191" spans="4:5" x14ac:dyDescent="0.25">
      <c r="D191" s="1">
        <v>938511.87</v>
      </c>
    </row>
    <row r="192" spans="4:5" x14ac:dyDescent="0.25">
      <c r="D192" s="1">
        <v>187568</v>
      </c>
    </row>
    <row r="193" spans="4:5" x14ac:dyDescent="0.25">
      <c r="D193" s="1">
        <v>102935.76</v>
      </c>
    </row>
    <row r="194" spans="4:5" x14ac:dyDescent="0.25">
      <c r="D194" s="1">
        <v>67779</v>
      </c>
    </row>
    <row r="195" spans="4:5" x14ac:dyDescent="0.25">
      <c r="D195" s="1">
        <v>725593.19</v>
      </c>
    </row>
    <row r="196" spans="4:5" x14ac:dyDescent="0.25">
      <c r="D196" s="1">
        <v>35435.72</v>
      </c>
    </row>
    <row r="197" spans="4:5" x14ac:dyDescent="0.25">
      <c r="D197" s="1">
        <f>SUM(D192:D196)</f>
        <v>1119311.67</v>
      </c>
    </row>
    <row r="198" spans="4:5" x14ac:dyDescent="0.25">
      <c r="E198" s="1">
        <v>180799.8</v>
      </c>
    </row>
    <row r="199" spans="4:5" x14ac:dyDescent="0.25">
      <c r="D199" s="1">
        <f>+D191-D197</f>
        <v>-180799.79999999993</v>
      </c>
      <c r="E199" s="1">
        <v>-180799.8</v>
      </c>
    </row>
    <row r="200" spans="4:5" x14ac:dyDescent="0.25">
      <c r="E200" s="1">
        <v>180799.14</v>
      </c>
    </row>
    <row r="202" spans="4:5" x14ac:dyDescent="0.25">
      <c r="E202" s="1">
        <f>+E198-E200</f>
        <v>0.65999999997438863</v>
      </c>
    </row>
    <row r="203" spans="4:5" x14ac:dyDescent="0.25">
      <c r="E203" s="1">
        <v>0.06</v>
      </c>
    </row>
    <row r="204" spans="4:5" x14ac:dyDescent="0.25">
      <c r="D204" s="1">
        <v>1092163.01</v>
      </c>
      <c r="E204" s="1">
        <f>SUM(E202:E203)</f>
        <v>0.71999999997438868</v>
      </c>
    </row>
    <row r="205" spans="4:5" x14ac:dyDescent="0.25">
      <c r="D205" s="1">
        <v>1111943.2</v>
      </c>
    </row>
    <row r="206" spans="4:5" x14ac:dyDescent="0.25">
      <c r="D206" s="1">
        <v>193230.29</v>
      </c>
    </row>
    <row r="207" spans="4:5" x14ac:dyDescent="0.25">
      <c r="D207" s="1">
        <f>SUM(D204:D206)</f>
        <v>2397336.5</v>
      </c>
    </row>
  </sheetData>
  <mergeCells count="7">
    <mergeCell ref="A62:F62"/>
    <mergeCell ref="A64:F64"/>
    <mergeCell ref="B49:D49"/>
    <mergeCell ref="A2:F2"/>
    <mergeCell ref="A4:F4"/>
    <mergeCell ref="B47:D47"/>
    <mergeCell ref="B48:D48"/>
  </mergeCells>
  <pageMargins left="0.70866141732283505" right="0.70866141732283505" top="0.74803149606299202" bottom="0.74803149606299202" header="0.31496062992126" footer="0.31496062992126"/>
  <pageSetup scale="50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E134"/>
  <sheetViews>
    <sheetView tabSelected="1" topLeftCell="A4" workbookViewId="0">
      <selection activeCell="H129" sqref="H129"/>
    </sheetView>
  </sheetViews>
  <sheetFormatPr baseColWidth="10" defaultRowHeight="15" x14ac:dyDescent="0.25"/>
  <cols>
    <col min="1" max="1" width="33.42578125" customWidth="1"/>
    <col min="2" max="2" width="18.28515625" customWidth="1"/>
  </cols>
  <sheetData>
    <row r="2" spans="1:5" x14ac:dyDescent="0.25">
      <c r="A2" s="96"/>
      <c r="B2" s="96"/>
      <c r="C2" s="96"/>
      <c r="D2" s="96"/>
      <c r="E2" s="96"/>
    </row>
    <row r="3" spans="1:5" x14ac:dyDescent="0.25">
      <c r="A3" s="96"/>
      <c r="B3" s="96"/>
      <c r="C3" s="96"/>
      <c r="D3" s="96"/>
      <c r="E3" s="96"/>
    </row>
    <row r="4" spans="1:5" x14ac:dyDescent="0.25">
      <c r="A4" s="96"/>
      <c r="B4" s="96"/>
      <c r="C4" s="96"/>
      <c r="D4" s="96"/>
      <c r="E4" s="96"/>
    </row>
    <row r="5" spans="1:5" x14ac:dyDescent="0.25">
      <c r="A5" s="96"/>
      <c r="B5" s="96"/>
      <c r="C5" s="96"/>
      <c r="D5" s="96"/>
      <c r="E5" s="96"/>
    </row>
    <row r="6" spans="1:5" x14ac:dyDescent="0.25">
      <c r="A6" s="116"/>
      <c r="B6" s="116"/>
      <c r="C6" s="116"/>
      <c r="D6" s="116"/>
      <c r="E6" s="116"/>
    </row>
    <row r="7" spans="1:5" x14ac:dyDescent="0.25">
      <c r="A7" s="116"/>
      <c r="B7" s="116"/>
      <c r="C7" s="116"/>
      <c r="D7" s="116"/>
      <c r="E7" s="116"/>
    </row>
    <row r="8" spans="1:5" x14ac:dyDescent="0.25">
      <c r="A8" s="116" t="s">
        <v>185</v>
      </c>
      <c r="B8" s="116"/>
      <c r="C8" s="116"/>
      <c r="D8" s="116"/>
      <c r="E8" s="116"/>
    </row>
    <row r="9" spans="1:5" x14ac:dyDescent="0.25">
      <c r="A9" s="117" t="s">
        <v>4</v>
      </c>
      <c r="B9" s="117" t="s">
        <v>27</v>
      </c>
      <c r="C9" s="119" t="s">
        <v>49</v>
      </c>
      <c r="D9" s="97" t="s">
        <v>62</v>
      </c>
      <c r="E9" s="121" t="s">
        <v>50</v>
      </c>
    </row>
    <row r="10" spans="1:5" x14ac:dyDescent="0.25">
      <c r="A10" s="118" t="s">
        <v>4</v>
      </c>
      <c r="B10" s="118"/>
      <c r="C10" s="120"/>
      <c r="D10" s="98"/>
      <c r="E10" s="122"/>
    </row>
    <row r="11" spans="1:5" x14ac:dyDescent="0.25">
      <c r="A11" s="99" t="s">
        <v>63</v>
      </c>
      <c r="B11" s="100" t="s">
        <v>56</v>
      </c>
      <c r="C11" s="99">
        <v>4</v>
      </c>
      <c r="D11" s="101">
        <v>4250</v>
      </c>
      <c r="E11" s="101">
        <f t="shared" ref="E11:E21" si="0">+C11*D11</f>
        <v>17000</v>
      </c>
    </row>
    <row r="12" spans="1:5" x14ac:dyDescent="0.25">
      <c r="A12" s="99" t="s">
        <v>64</v>
      </c>
      <c r="B12" s="100" t="s">
        <v>65</v>
      </c>
      <c r="C12" s="99">
        <v>2</v>
      </c>
      <c r="D12" s="101">
        <v>2800</v>
      </c>
      <c r="E12" s="101">
        <f t="shared" si="0"/>
        <v>5600</v>
      </c>
    </row>
    <row r="13" spans="1:5" x14ac:dyDescent="0.25">
      <c r="A13" s="99" t="s">
        <v>66</v>
      </c>
      <c r="B13" s="100" t="s">
        <v>67</v>
      </c>
      <c r="C13" s="99">
        <v>8</v>
      </c>
      <c r="D13" s="101">
        <v>266</v>
      </c>
      <c r="E13" s="101">
        <f t="shared" si="0"/>
        <v>2128</v>
      </c>
    </row>
    <row r="14" spans="1:5" x14ac:dyDescent="0.25">
      <c r="A14" s="99" t="s">
        <v>68</v>
      </c>
      <c r="B14" s="100" t="s">
        <v>67</v>
      </c>
      <c r="C14" s="99">
        <v>4</v>
      </c>
      <c r="D14" s="101">
        <v>250</v>
      </c>
      <c r="E14" s="101">
        <f t="shared" si="0"/>
        <v>1000</v>
      </c>
    </row>
    <row r="15" spans="1:5" x14ac:dyDescent="0.25">
      <c r="A15" s="99"/>
      <c r="B15" s="100"/>
      <c r="C15" s="99"/>
      <c r="D15" s="101">
        <v>125</v>
      </c>
      <c r="E15" s="101">
        <f t="shared" si="0"/>
        <v>0</v>
      </c>
    </row>
    <row r="16" spans="1:5" x14ac:dyDescent="0.25">
      <c r="A16" s="99" t="s">
        <v>71</v>
      </c>
      <c r="B16" s="100" t="s">
        <v>72</v>
      </c>
      <c r="C16" s="99">
        <v>3</v>
      </c>
      <c r="D16" s="101">
        <v>300</v>
      </c>
      <c r="E16" s="101">
        <f t="shared" si="0"/>
        <v>900</v>
      </c>
    </row>
    <row r="17" spans="1:5" x14ac:dyDescent="0.25">
      <c r="A17" s="99" t="s">
        <v>73</v>
      </c>
      <c r="B17" s="100" t="s">
        <v>40</v>
      </c>
      <c r="C17" s="99">
        <f>50+1+5</f>
        <v>56</v>
      </c>
      <c r="D17" s="101">
        <v>155.85</v>
      </c>
      <c r="E17" s="101">
        <f t="shared" si="0"/>
        <v>8727.6</v>
      </c>
    </row>
    <row r="18" spans="1:5" x14ac:dyDescent="0.25">
      <c r="A18" s="99" t="s">
        <v>74</v>
      </c>
      <c r="B18" s="100" t="s">
        <v>40</v>
      </c>
      <c r="C18" s="99">
        <f>68-5</f>
        <v>63</v>
      </c>
      <c r="D18" s="101">
        <v>150</v>
      </c>
      <c r="E18" s="101">
        <f t="shared" si="0"/>
        <v>9450</v>
      </c>
    </row>
    <row r="19" spans="1:5" x14ac:dyDescent="0.25">
      <c r="A19" s="99" t="s">
        <v>75</v>
      </c>
      <c r="B19" s="100" t="s">
        <v>72</v>
      </c>
      <c r="C19" s="99">
        <v>22</v>
      </c>
      <c r="D19" s="101">
        <v>125</v>
      </c>
      <c r="E19" s="101">
        <f t="shared" si="0"/>
        <v>2750</v>
      </c>
    </row>
    <row r="20" spans="1:5" x14ac:dyDescent="0.25">
      <c r="A20" s="99" t="s">
        <v>76</v>
      </c>
      <c r="B20" s="100" t="s">
        <v>60</v>
      </c>
      <c r="C20" s="99">
        <v>18</v>
      </c>
      <c r="D20" s="101">
        <v>113</v>
      </c>
      <c r="E20" s="101">
        <f t="shared" si="0"/>
        <v>2034</v>
      </c>
    </row>
    <row r="21" spans="1:5" x14ac:dyDescent="0.25">
      <c r="A21" s="99" t="s">
        <v>77</v>
      </c>
      <c r="B21" s="100" t="s">
        <v>72</v>
      </c>
      <c r="C21" s="99">
        <v>24</v>
      </c>
      <c r="D21" s="101">
        <v>125</v>
      </c>
      <c r="E21" s="101">
        <f t="shared" si="0"/>
        <v>3000</v>
      </c>
    </row>
    <row r="22" spans="1:5" x14ac:dyDescent="0.25">
      <c r="A22" s="99" t="s">
        <v>78</v>
      </c>
      <c r="B22" s="100" t="s">
        <v>72</v>
      </c>
      <c r="C22" s="99">
        <f>23+48+24+156+24</f>
        <v>275</v>
      </c>
      <c r="D22" s="101">
        <v>275</v>
      </c>
      <c r="E22" s="101">
        <f>+C22*D22</f>
        <v>75625</v>
      </c>
    </row>
    <row r="23" spans="1:5" x14ac:dyDescent="0.25">
      <c r="A23" s="99" t="s">
        <v>79</v>
      </c>
      <c r="B23" s="100" t="s">
        <v>80</v>
      </c>
      <c r="C23" s="99">
        <v>0</v>
      </c>
      <c r="D23" s="101">
        <v>1000</v>
      </c>
      <c r="E23" s="101">
        <f t="shared" ref="E23:E129" si="1">+C23*D23</f>
        <v>0</v>
      </c>
    </row>
    <row r="24" spans="1:5" x14ac:dyDescent="0.25">
      <c r="A24" s="99" t="s">
        <v>81</v>
      </c>
      <c r="B24" s="100" t="s">
        <v>72</v>
      </c>
      <c r="C24" s="99">
        <f>28+36+21</f>
        <v>85</v>
      </c>
      <c r="D24" s="101">
        <v>260</v>
      </c>
      <c r="E24" s="101">
        <f t="shared" si="1"/>
        <v>22100</v>
      </c>
    </row>
    <row r="25" spans="1:5" x14ac:dyDescent="0.25">
      <c r="A25" s="99" t="s">
        <v>82</v>
      </c>
      <c r="B25" s="100" t="s">
        <v>72</v>
      </c>
      <c r="C25" s="99">
        <v>3</v>
      </c>
      <c r="D25" s="101">
        <v>155</v>
      </c>
      <c r="E25" s="101">
        <f t="shared" si="1"/>
        <v>465</v>
      </c>
    </row>
    <row r="26" spans="1:5" x14ac:dyDescent="0.25">
      <c r="A26" s="99" t="s">
        <v>83</v>
      </c>
      <c r="B26" s="100" t="s">
        <v>72</v>
      </c>
      <c r="C26" s="99">
        <v>22</v>
      </c>
      <c r="D26" s="101">
        <v>155</v>
      </c>
      <c r="E26" s="101">
        <f t="shared" si="1"/>
        <v>3410</v>
      </c>
    </row>
    <row r="27" spans="1:5" x14ac:dyDescent="0.25">
      <c r="A27" s="99" t="s">
        <v>84</v>
      </c>
      <c r="B27" s="100" t="s">
        <v>55</v>
      </c>
      <c r="C27" s="99">
        <v>13</v>
      </c>
      <c r="D27" s="101">
        <v>155.85</v>
      </c>
      <c r="E27" s="101">
        <f t="shared" si="1"/>
        <v>2026.05</v>
      </c>
    </row>
    <row r="28" spans="1:5" x14ac:dyDescent="0.25">
      <c r="A28" s="99" t="s">
        <v>85</v>
      </c>
      <c r="B28" s="100" t="s">
        <v>56</v>
      </c>
      <c r="C28" s="99">
        <f>12+7</f>
        <v>19</v>
      </c>
      <c r="D28" s="101">
        <v>40</v>
      </c>
      <c r="E28" s="101">
        <f t="shared" si="1"/>
        <v>760</v>
      </c>
    </row>
    <row r="29" spans="1:5" x14ac:dyDescent="0.25">
      <c r="A29" s="99" t="s">
        <v>86</v>
      </c>
      <c r="B29" s="100" t="s">
        <v>72</v>
      </c>
      <c r="C29" s="99">
        <v>3</v>
      </c>
      <c r="D29" s="101">
        <v>180</v>
      </c>
      <c r="E29" s="101">
        <f t="shared" si="1"/>
        <v>540</v>
      </c>
    </row>
    <row r="30" spans="1:5" x14ac:dyDescent="0.25">
      <c r="A30" s="99" t="s">
        <v>87</v>
      </c>
      <c r="B30" s="100" t="s">
        <v>72</v>
      </c>
      <c r="C30" s="99">
        <v>3</v>
      </c>
      <c r="D30" s="101">
        <v>400</v>
      </c>
      <c r="E30" s="101">
        <f t="shared" si="1"/>
        <v>1200</v>
      </c>
    </row>
    <row r="31" spans="1:5" x14ac:dyDescent="0.25">
      <c r="A31" s="99" t="s">
        <v>88</v>
      </c>
      <c r="B31" s="100" t="s">
        <v>60</v>
      </c>
      <c r="C31" s="99">
        <v>10</v>
      </c>
      <c r="D31" s="101">
        <v>113</v>
      </c>
      <c r="E31" s="101">
        <f t="shared" si="1"/>
        <v>1130</v>
      </c>
    </row>
    <row r="32" spans="1:5" x14ac:dyDescent="0.25">
      <c r="A32" s="99" t="s">
        <v>89</v>
      </c>
      <c r="B32" s="103" t="s">
        <v>72</v>
      </c>
      <c r="C32" s="99">
        <v>94</v>
      </c>
      <c r="D32" s="101">
        <v>75</v>
      </c>
      <c r="E32" s="101">
        <f t="shared" si="1"/>
        <v>7050</v>
      </c>
    </row>
    <row r="33" spans="1:5" x14ac:dyDescent="0.25">
      <c r="A33" s="99" t="s">
        <v>90</v>
      </c>
      <c r="B33" s="103" t="s">
        <v>91</v>
      </c>
      <c r="C33" s="99">
        <v>47</v>
      </c>
      <c r="D33" s="101">
        <v>1500</v>
      </c>
      <c r="E33" s="101">
        <f t="shared" si="1"/>
        <v>70500</v>
      </c>
    </row>
    <row r="34" spans="1:5" x14ac:dyDescent="0.25">
      <c r="A34" s="102" t="s">
        <v>92</v>
      </c>
      <c r="B34" s="103" t="s">
        <v>70</v>
      </c>
      <c r="C34" s="99">
        <v>7</v>
      </c>
      <c r="D34" s="104">
        <v>325</v>
      </c>
      <c r="E34" s="104">
        <f t="shared" si="1"/>
        <v>2275</v>
      </c>
    </row>
    <row r="35" spans="1:5" x14ac:dyDescent="0.25">
      <c r="A35" s="99" t="s">
        <v>93</v>
      </c>
      <c r="B35" s="100" t="s">
        <v>72</v>
      </c>
      <c r="C35" s="99">
        <v>10</v>
      </c>
      <c r="D35" s="101">
        <v>3400</v>
      </c>
      <c r="E35" s="101">
        <f t="shared" si="1"/>
        <v>34000</v>
      </c>
    </row>
    <row r="36" spans="1:5" x14ac:dyDescent="0.25">
      <c r="A36" s="99" t="s">
        <v>94</v>
      </c>
      <c r="B36" s="100" t="s">
        <v>72</v>
      </c>
      <c r="C36" s="99">
        <v>21</v>
      </c>
      <c r="D36" s="101">
        <v>1500</v>
      </c>
      <c r="E36" s="101">
        <f t="shared" si="1"/>
        <v>31500</v>
      </c>
    </row>
    <row r="37" spans="1:5" x14ac:dyDescent="0.25">
      <c r="A37" s="99" t="s">
        <v>95</v>
      </c>
      <c r="B37" s="100" t="s">
        <v>72</v>
      </c>
      <c r="C37" s="99">
        <v>13</v>
      </c>
      <c r="D37" s="101">
        <v>1500</v>
      </c>
      <c r="E37" s="101">
        <f t="shared" si="1"/>
        <v>19500</v>
      </c>
    </row>
    <row r="38" spans="1:5" x14ac:dyDescent="0.25">
      <c r="A38" s="99" t="s">
        <v>96</v>
      </c>
      <c r="B38" s="100" t="s">
        <v>97</v>
      </c>
      <c r="C38" s="99">
        <v>1</v>
      </c>
      <c r="D38" s="101">
        <v>1500</v>
      </c>
      <c r="E38" s="101">
        <f t="shared" si="1"/>
        <v>1500</v>
      </c>
    </row>
    <row r="39" spans="1:5" x14ac:dyDescent="0.25">
      <c r="A39" s="99" t="s">
        <v>98</v>
      </c>
      <c r="B39" s="100" t="s">
        <v>72</v>
      </c>
      <c r="C39" s="99">
        <v>2</v>
      </c>
      <c r="D39" s="101">
        <v>1500</v>
      </c>
      <c r="E39" s="101">
        <f t="shared" si="1"/>
        <v>3000</v>
      </c>
    </row>
    <row r="40" spans="1:5" x14ac:dyDescent="0.25">
      <c r="A40" s="99" t="s">
        <v>99</v>
      </c>
      <c r="B40" s="100" t="s">
        <v>72</v>
      </c>
      <c r="C40" s="99">
        <v>6</v>
      </c>
      <c r="D40" s="101">
        <v>1500</v>
      </c>
      <c r="E40" s="101">
        <f t="shared" si="1"/>
        <v>9000</v>
      </c>
    </row>
    <row r="41" spans="1:5" x14ac:dyDescent="0.25">
      <c r="A41" s="99" t="s">
        <v>100</v>
      </c>
      <c r="B41" s="100" t="s">
        <v>70</v>
      </c>
      <c r="C41" s="99">
        <v>6</v>
      </c>
      <c r="D41" s="101">
        <v>550</v>
      </c>
      <c r="E41" s="101">
        <f t="shared" si="1"/>
        <v>3300</v>
      </c>
    </row>
    <row r="42" spans="1:5" x14ac:dyDescent="0.25">
      <c r="A42" s="99" t="s">
        <v>101</v>
      </c>
      <c r="B42" s="100" t="s">
        <v>102</v>
      </c>
      <c r="C42" s="99">
        <v>500</v>
      </c>
      <c r="D42" s="101">
        <v>65</v>
      </c>
      <c r="E42" s="101">
        <f t="shared" si="1"/>
        <v>32500</v>
      </c>
    </row>
    <row r="43" spans="1:5" x14ac:dyDescent="0.25">
      <c r="A43" s="99" t="s">
        <v>103</v>
      </c>
      <c r="B43" s="100" t="s">
        <v>97</v>
      </c>
      <c r="C43" s="99">
        <v>1</v>
      </c>
      <c r="D43" s="101">
        <v>7820</v>
      </c>
      <c r="E43" s="101">
        <f t="shared" si="1"/>
        <v>7820</v>
      </c>
    </row>
    <row r="44" spans="1:5" x14ac:dyDescent="0.25">
      <c r="A44" s="99" t="s">
        <v>104</v>
      </c>
      <c r="B44" s="100" t="s">
        <v>72</v>
      </c>
      <c r="C44" s="99">
        <v>3</v>
      </c>
      <c r="D44" s="101">
        <v>3200</v>
      </c>
      <c r="E44" s="101">
        <f t="shared" si="1"/>
        <v>9600</v>
      </c>
    </row>
    <row r="45" spans="1:5" x14ac:dyDescent="0.25">
      <c r="A45" s="99" t="s">
        <v>105</v>
      </c>
      <c r="B45" s="100" t="s">
        <v>72</v>
      </c>
      <c r="C45" s="99">
        <v>4</v>
      </c>
      <c r="D45" s="101">
        <v>4000</v>
      </c>
      <c r="E45" s="101">
        <f t="shared" si="1"/>
        <v>16000</v>
      </c>
    </row>
    <row r="46" spans="1:5" x14ac:dyDescent="0.25">
      <c r="A46" s="99" t="s">
        <v>106</v>
      </c>
      <c r="B46" s="100" t="s">
        <v>97</v>
      </c>
      <c r="C46" s="99">
        <v>1</v>
      </c>
      <c r="D46" s="101">
        <v>5000</v>
      </c>
      <c r="E46" s="101">
        <f t="shared" si="1"/>
        <v>5000</v>
      </c>
    </row>
    <row r="47" spans="1:5" x14ac:dyDescent="0.25">
      <c r="A47" s="99" t="s">
        <v>107</v>
      </c>
      <c r="B47" s="100" t="s">
        <v>72</v>
      </c>
      <c r="C47" s="99">
        <v>500</v>
      </c>
      <c r="D47" s="101">
        <v>200</v>
      </c>
      <c r="E47" s="101">
        <f t="shared" si="1"/>
        <v>100000</v>
      </c>
    </row>
    <row r="48" spans="1:5" x14ac:dyDescent="0.25">
      <c r="A48" s="99" t="s">
        <v>108</v>
      </c>
      <c r="B48" s="100" t="s">
        <v>72</v>
      </c>
      <c r="C48" s="99">
        <v>11</v>
      </c>
      <c r="D48" s="101">
        <v>10000</v>
      </c>
      <c r="E48" s="101">
        <f t="shared" si="1"/>
        <v>110000</v>
      </c>
    </row>
    <row r="49" spans="1:5" x14ac:dyDescent="0.25">
      <c r="A49" s="99" t="s">
        <v>109</v>
      </c>
      <c r="B49" s="100" t="s">
        <v>110</v>
      </c>
      <c r="C49" s="99">
        <v>13</v>
      </c>
      <c r="D49" s="101">
        <v>1500</v>
      </c>
      <c r="E49" s="101">
        <f t="shared" si="1"/>
        <v>19500</v>
      </c>
    </row>
    <row r="50" spans="1:5" x14ac:dyDescent="0.25">
      <c r="A50" s="99" t="s">
        <v>111</v>
      </c>
      <c r="B50" s="100" t="s">
        <v>110</v>
      </c>
      <c r="C50" s="99">
        <v>1</v>
      </c>
      <c r="D50" s="101">
        <v>1500</v>
      </c>
      <c r="E50" s="101">
        <f t="shared" si="1"/>
        <v>1500</v>
      </c>
    </row>
    <row r="51" spans="1:5" x14ac:dyDescent="0.25">
      <c r="A51" s="99" t="s">
        <v>112</v>
      </c>
      <c r="B51" s="100" t="s">
        <v>72</v>
      </c>
      <c r="C51" s="99">
        <v>0</v>
      </c>
      <c r="D51" s="101">
        <v>700</v>
      </c>
      <c r="E51" s="101">
        <f t="shared" si="1"/>
        <v>0</v>
      </c>
    </row>
    <row r="52" spans="1:5" x14ac:dyDescent="0.25">
      <c r="A52" s="99" t="s">
        <v>114</v>
      </c>
      <c r="B52" s="100" t="s">
        <v>72</v>
      </c>
      <c r="C52" s="99">
        <v>62</v>
      </c>
      <c r="D52" s="101">
        <v>35</v>
      </c>
      <c r="E52" s="101">
        <f t="shared" si="1"/>
        <v>2170</v>
      </c>
    </row>
    <row r="53" spans="1:5" x14ac:dyDescent="0.25">
      <c r="A53" s="99" t="s">
        <v>115</v>
      </c>
      <c r="B53" s="100" t="s">
        <v>72</v>
      </c>
      <c r="C53" s="99">
        <v>15</v>
      </c>
      <c r="D53" s="101">
        <v>266</v>
      </c>
      <c r="E53" s="101">
        <f t="shared" si="1"/>
        <v>3990</v>
      </c>
    </row>
    <row r="54" spans="1:5" x14ac:dyDescent="0.25">
      <c r="A54" s="99" t="s">
        <v>116</v>
      </c>
      <c r="B54" s="100" t="s">
        <v>72</v>
      </c>
      <c r="C54" s="99">
        <v>11</v>
      </c>
      <c r="D54" s="101">
        <v>220</v>
      </c>
      <c r="E54" s="101">
        <f t="shared" si="1"/>
        <v>2420</v>
      </c>
    </row>
    <row r="55" spans="1:5" x14ac:dyDescent="0.25">
      <c r="A55" s="99" t="s">
        <v>117</v>
      </c>
      <c r="B55" s="100" t="s">
        <v>72</v>
      </c>
      <c r="C55" s="99">
        <v>4</v>
      </c>
      <c r="D55" s="101">
        <v>225</v>
      </c>
      <c r="E55" s="101">
        <f t="shared" si="1"/>
        <v>900</v>
      </c>
    </row>
    <row r="56" spans="1:5" x14ac:dyDescent="0.25">
      <c r="A56" s="99" t="s">
        <v>118</v>
      </c>
      <c r="B56" s="100" t="s">
        <v>72</v>
      </c>
      <c r="C56" s="99">
        <v>151</v>
      </c>
      <c r="D56" s="101">
        <v>175</v>
      </c>
      <c r="E56" s="101">
        <f t="shared" si="1"/>
        <v>26425</v>
      </c>
    </row>
    <row r="57" spans="1:5" x14ac:dyDescent="0.25">
      <c r="A57" s="99" t="s">
        <v>119</v>
      </c>
      <c r="B57" s="100" t="s">
        <v>72</v>
      </c>
      <c r="C57" s="99">
        <v>4</v>
      </c>
      <c r="D57" s="101">
        <v>500</v>
      </c>
      <c r="E57" s="101">
        <f t="shared" si="1"/>
        <v>2000</v>
      </c>
    </row>
    <row r="58" spans="1:5" x14ac:dyDescent="0.25">
      <c r="A58" s="99" t="s">
        <v>120</v>
      </c>
      <c r="B58" s="100" t="s">
        <v>97</v>
      </c>
      <c r="C58" s="99">
        <v>1</v>
      </c>
      <c r="D58" s="101">
        <v>6700</v>
      </c>
      <c r="E58" s="101">
        <f t="shared" si="1"/>
        <v>6700</v>
      </c>
    </row>
    <row r="59" spans="1:5" x14ac:dyDescent="0.25">
      <c r="A59" s="99" t="s">
        <v>121</v>
      </c>
      <c r="B59" s="100" t="s">
        <v>72</v>
      </c>
      <c r="C59" s="99">
        <v>2</v>
      </c>
      <c r="D59" s="101">
        <v>150</v>
      </c>
      <c r="E59" s="101">
        <f t="shared" si="1"/>
        <v>300</v>
      </c>
    </row>
    <row r="60" spans="1:5" x14ac:dyDescent="0.25">
      <c r="A60" s="99" t="s">
        <v>122</v>
      </c>
      <c r="B60" s="100" t="s">
        <v>123</v>
      </c>
      <c r="C60" s="99">
        <v>10</v>
      </c>
      <c r="D60" s="101">
        <v>44.08</v>
      </c>
      <c r="E60" s="101">
        <f t="shared" si="1"/>
        <v>440.79999999999995</v>
      </c>
    </row>
    <row r="61" spans="1:5" x14ac:dyDescent="0.25">
      <c r="A61" s="99" t="s">
        <v>66</v>
      </c>
      <c r="B61" s="100" t="s">
        <v>67</v>
      </c>
      <c r="C61" s="99">
        <f>93-60</f>
        <v>33</v>
      </c>
      <c r="D61" s="101">
        <v>266</v>
      </c>
      <c r="E61" s="101">
        <f t="shared" si="1"/>
        <v>8778</v>
      </c>
    </row>
    <row r="62" spans="1:5" x14ac:dyDescent="0.25">
      <c r="A62" s="99" t="s">
        <v>179</v>
      </c>
      <c r="B62" s="100" t="s">
        <v>72</v>
      </c>
      <c r="C62" s="99">
        <v>6</v>
      </c>
      <c r="D62" s="101">
        <v>250</v>
      </c>
      <c r="E62" s="101">
        <f t="shared" si="1"/>
        <v>1500</v>
      </c>
    </row>
    <row r="63" spans="1:5" x14ac:dyDescent="0.25">
      <c r="A63" s="99" t="s">
        <v>124</v>
      </c>
      <c r="B63" s="100" t="s">
        <v>113</v>
      </c>
      <c r="C63" s="99">
        <v>0</v>
      </c>
      <c r="D63" s="101">
        <v>225</v>
      </c>
      <c r="E63" s="101">
        <f t="shared" si="1"/>
        <v>0</v>
      </c>
    </row>
    <row r="64" spans="1:5" x14ac:dyDescent="0.25">
      <c r="A64" s="99" t="s">
        <v>125</v>
      </c>
      <c r="B64" s="100" t="s">
        <v>72</v>
      </c>
      <c r="C64" s="99">
        <v>7</v>
      </c>
      <c r="D64" s="101">
        <v>320</v>
      </c>
      <c r="E64" s="101">
        <f t="shared" si="1"/>
        <v>2240</v>
      </c>
    </row>
    <row r="65" spans="1:5" x14ac:dyDescent="0.25">
      <c r="A65" s="99" t="s">
        <v>183</v>
      </c>
      <c r="B65" s="100" t="s">
        <v>184</v>
      </c>
      <c r="C65" s="99">
        <v>1</v>
      </c>
      <c r="D65" s="101">
        <v>225</v>
      </c>
      <c r="E65" s="101">
        <f t="shared" si="1"/>
        <v>225</v>
      </c>
    </row>
    <row r="66" spans="1:5" x14ac:dyDescent="0.25">
      <c r="A66" s="99" t="s">
        <v>126</v>
      </c>
      <c r="B66" s="100" t="s">
        <v>113</v>
      </c>
      <c r="C66" s="99">
        <v>6</v>
      </c>
      <c r="D66" s="101">
        <v>2000</v>
      </c>
      <c r="E66" s="101">
        <f t="shared" si="1"/>
        <v>12000</v>
      </c>
    </row>
    <row r="67" spans="1:5" x14ac:dyDescent="0.25">
      <c r="A67" s="99" t="s">
        <v>176</v>
      </c>
      <c r="B67" s="100" t="s">
        <v>70</v>
      </c>
      <c r="C67" s="99">
        <v>2</v>
      </c>
      <c r="D67" s="101">
        <v>175</v>
      </c>
      <c r="E67" s="101">
        <f t="shared" si="1"/>
        <v>350</v>
      </c>
    </row>
    <row r="68" spans="1:5" x14ac:dyDescent="0.25">
      <c r="A68" s="99" t="s">
        <v>69</v>
      </c>
      <c r="B68" s="100" t="s">
        <v>70</v>
      </c>
      <c r="C68" s="99">
        <v>8</v>
      </c>
      <c r="D68" s="101">
        <v>800</v>
      </c>
      <c r="E68" s="101">
        <f t="shared" si="1"/>
        <v>6400</v>
      </c>
    </row>
    <row r="69" spans="1:5" x14ac:dyDescent="0.25">
      <c r="A69" s="99" t="s">
        <v>128</v>
      </c>
      <c r="B69" s="100" t="s">
        <v>113</v>
      </c>
      <c r="C69" s="99">
        <v>8</v>
      </c>
      <c r="D69" s="101">
        <v>2000</v>
      </c>
      <c r="E69" s="101">
        <f t="shared" si="1"/>
        <v>16000</v>
      </c>
    </row>
    <row r="70" spans="1:5" x14ac:dyDescent="0.25">
      <c r="A70" s="99" t="s">
        <v>129</v>
      </c>
      <c r="B70" s="100" t="s">
        <v>55</v>
      </c>
      <c r="C70" s="99">
        <v>12</v>
      </c>
      <c r="D70" s="101">
        <v>225</v>
      </c>
      <c r="E70" s="101">
        <f t="shared" si="1"/>
        <v>2700</v>
      </c>
    </row>
    <row r="71" spans="1:5" x14ac:dyDescent="0.25">
      <c r="A71" s="99" t="s">
        <v>130</v>
      </c>
      <c r="B71" s="100" t="s">
        <v>56</v>
      </c>
      <c r="C71" s="99">
        <v>0</v>
      </c>
      <c r="D71" s="101">
        <v>800</v>
      </c>
      <c r="E71" s="101">
        <f t="shared" si="1"/>
        <v>0</v>
      </c>
    </row>
    <row r="72" spans="1:5" x14ac:dyDescent="0.25">
      <c r="A72" s="99" t="s">
        <v>131</v>
      </c>
      <c r="B72" s="100" t="s">
        <v>102</v>
      </c>
      <c r="C72" s="99">
        <v>18</v>
      </c>
      <c r="D72" s="101">
        <v>65</v>
      </c>
      <c r="E72" s="101">
        <f t="shared" si="1"/>
        <v>1170</v>
      </c>
    </row>
    <row r="73" spans="1:5" x14ac:dyDescent="0.25">
      <c r="A73" s="99" t="s">
        <v>132</v>
      </c>
      <c r="B73" s="100" t="s">
        <v>127</v>
      </c>
      <c r="C73" s="99">
        <v>0</v>
      </c>
      <c r="D73" s="101">
        <v>720</v>
      </c>
      <c r="E73" s="101">
        <f t="shared" si="1"/>
        <v>0</v>
      </c>
    </row>
    <row r="74" spans="1:5" x14ac:dyDescent="0.25">
      <c r="A74" s="99" t="s">
        <v>133</v>
      </c>
      <c r="B74" s="100" t="s">
        <v>72</v>
      </c>
      <c r="C74" s="99">
        <v>1</v>
      </c>
      <c r="D74" s="101">
        <v>80</v>
      </c>
      <c r="E74" s="101">
        <f t="shared" si="1"/>
        <v>80</v>
      </c>
    </row>
    <row r="75" spans="1:5" x14ac:dyDescent="0.25">
      <c r="A75" s="99" t="s">
        <v>134</v>
      </c>
      <c r="B75" s="100" t="s">
        <v>91</v>
      </c>
      <c r="C75" s="99">
        <v>1</v>
      </c>
      <c r="D75" s="101">
        <v>1950</v>
      </c>
      <c r="E75" s="101">
        <f t="shared" si="1"/>
        <v>1950</v>
      </c>
    </row>
    <row r="76" spans="1:5" x14ac:dyDescent="0.25">
      <c r="A76" s="99" t="s">
        <v>180</v>
      </c>
      <c r="B76" s="100" t="s">
        <v>56</v>
      </c>
      <c r="C76" s="99">
        <v>1</v>
      </c>
      <c r="D76" s="101">
        <v>4250</v>
      </c>
      <c r="E76" s="101">
        <f t="shared" si="1"/>
        <v>4250</v>
      </c>
    </row>
    <row r="77" spans="1:5" x14ac:dyDescent="0.25">
      <c r="A77" s="99" t="s">
        <v>181</v>
      </c>
      <c r="B77" s="100" t="s">
        <v>113</v>
      </c>
      <c r="C77" s="99">
        <v>0</v>
      </c>
      <c r="D77" s="101">
        <v>220</v>
      </c>
      <c r="E77" s="101">
        <f t="shared" si="1"/>
        <v>0</v>
      </c>
    </row>
    <row r="78" spans="1:5" x14ac:dyDescent="0.25">
      <c r="A78" s="99" t="s">
        <v>135</v>
      </c>
      <c r="B78" s="100" t="s">
        <v>72</v>
      </c>
      <c r="C78" s="99">
        <v>3</v>
      </c>
      <c r="D78" s="101">
        <v>225</v>
      </c>
      <c r="E78" s="101">
        <f t="shared" si="1"/>
        <v>675</v>
      </c>
    </row>
    <row r="79" spans="1:5" x14ac:dyDescent="0.25">
      <c r="A79" s="99" t="s">
        <v>182</v>
      </c>
      <c r="B79" s="100" t="s">
        <v>91</v>
      </c>
      <c r="C79" s="99">
        <v>0</v>
      </c>
      <c r="D79" s="101">
        <v>190</v>
      </c>
      <c r="E79" s="101">
        <f t="shared" si="1"/>
        <v>0</v>
      </c>
    </row>
    <row r="80" spans="1:5" x14ac:dyDescent="0.25">
      <c r="A80" s="99" t="s">
        <v>136</v>
      </c>
      <c r="B80" s="100" t="s">
        <v>72</v>
      </c>
      <c r="C80" s="99">
        <v>0</v>
      </c>
      <c r="D80" s="101">
        <v>155</v>
      </c>
      <c r="E80" s="101">
        <f t="shared" si="1"/>
        <v>0</v>
      </c>
    </row>
    <row r="81" spans="1:5" x14ac:dyDescent="0.25">
      <c r="A81" s="99" t="s">
        <v>137</v>
      </c>
      <c r="B81" s="100" t="s">
        <v>72</v>
      </c>
      <c r="C81" s="99">
        <v>25</v>
      </c>
      <c r="D81" s="101">
        <v>275</v>
      </c>
      <c r="E81" s="101">
        <f t="shared" si="1"/>
        <v>6875</v>
      </c>
    </row>
    <row r="82" spans="1:5" x14ac:dyDescent="0.25">
      <c r="A82" s="99" t="s">
        <v>138</v>
      </c>
      <c r="B82" s="100" t="s">
        <v>113</v>
      </c>
      <c r="C82" s="99">
        <v>1</v>
      </c>
      <c r="D82" s="101">
        <v>225</v>
      </c>
      <c r="E82" s="101">
        <f t="shared" si="1"/>
        <v>225</v>
      </c>
    </row>
    <row r="83" spans="1:5" x14ac:dyDescent="0.25">
      <c r="A83" s="99"/>
      <c r="B83" s="100"/>
      <c r="C83" s="99"/>
      <c r="D83" s="101"/>
      <c r="E83" s="101">
        <f t="shared" si="1"/>
        <v>0</v>
      </c>
    </row>
    <row r="84" spans="1:5" x14ac:dyDescent="0.25">
      <c r="A84" s="99"/>
      <c r="B84" s="100"/>
      <c r="C84" s="99"/>
      <c r="D84" s="101"/>
      <c r="E84" s="101">
        <f t="shared" si="1"/>
        <v>0</v>
      </c>
    </row>
    <row r="85" spans="1:5" x14ac:dyDescent="0.25">
      <c r="A85" s="99" t="s">
        <v>134</v>
      </c>
      <c r="B85" s="100" t="s">
        <v>72</v>
      </c>
      <c r="C85" s="99"/>
      <c r="D85" s="101">
        <v>35</v>
      </c>
      <c r="E85" s="101">
        <f t="shared" si="1"/>
        <v>0</v>
      </c>
    </row>
    <row r="86" spans="1:5" x14ac:dyDescent="0.25">
      <c r="A86" s="99" t="s">
        <v>82</v>
      </c>
      <c r="B86" s="100" t="s">
        <v>72</v>
      </c>
      <c r="C86" s="99">
        <v>3</v>
      </c>
      <c r="D86" s="101">
        <v>325</v>
      </c>
      <c r="E86" s="101">
        <f t="shared" si="1"/>
        <v>975</v>
      </c>
    </row>
    <row r="87" spans="1:5" x14ac:dyDescent="0.25">
      <c r="A87" s="99" t="s">
        <v>139</v>
      </c>
      <c r="B87" s="100" t="s">
        <v>72</v>
      </c>
      <c r="C87" s="99">
        <v>25</v>
      </c>
      <c r="D87" s="101">
        <v>50</v>
      </c>
      <c r="E87" s="101">
        <f t="shared" si="1"/>
        <v>1250</v>
      </c>
    </row>
    <row r="88" spans="1:5" x14ac:dyDescent="0.25">
      <c r="A88" s="99" t="s">
        <v>140</v>
      </c>
      <c r="B88" s="100" t="s">
        <v>72</v>
      </c>
      <c r="C88" s="99">
        <v>35</v>
      </c>
      <c r="D88" s="101">
        <v>80</v>
      </c>
      <c r="E88" s="101">
        <f t="shared" si="1"/>
        <v>2800</v>
      </c>
    </row>
    <row r="89" spans="1:5" x14ac:dyDescent="0.25">
      <c r="A89" s="99" t="s">
        <v>141</v>
      </c>
      <c r="B89" s="100" t="s">
        <v>72</v>
      </c>
      <c r="C89" s="99"/>
      <c r="D89" s="101">
        <v>90</v>
      </c>
      <c r="E89" s="101">
        <f t="shared" si="1"/>
        <v>0</v>
      </c>
    </row>
    <row r="90" spans="1:5" x14ac:dyDescent="0.25">
      <c r="A90" s="99" t="s">
        <v>73</v>
      </c>
      <c r="B90" s="100" t="s">
        <v>72</v>
      </c>
      <c r="C90" s="99">
        <v>0</v>
      </c>
      <c r="D90" s="101">
        <v>38.75</v>
      </c>
      <c r="E90" s="101">
        <f t="shared" si="1"/>
        <v>0</v>
      </c>
    </row>
    <row r="91" spans="1:5" x14ac:dyDescent="0.25">
      <c r="A91" s="99" t="s">
        <v>73</v>
      </c>
      <c r="B91" s="100" t="s">
        <v>60</v>
      </c>
      <c r="C91" s="99">
        <v>0</v>
      </c>
      <c r="D91" s="101">
        <v>155</v>
      </c>
      <c r="E91" s="101">
        <f t="shared" si="1"/>
        <v>0</v>
      </c>
    </row>
    <row r="92" spans="1:5" x14ac:dyDescent="0.25">
      <c r="A92" s="99" t="s">
        <v>78</v>
      </c>
      <c r="B92" s="100" t="s">
        <v>72</v>
      </c>
      <c r="C92" s="99">
        <v>0</v>
      </c>
      <c r="D92" s="101">
        <v>275</v>
      </c>
      <c r="E92" s="101">
        <f t="shared" si="1"/>
        <v>0</v>
      </c>
    </row>
    <row r="93" spans="1:5" x14ac:dyDescent="0.25">
      <c r="A93" s="99" t="s">
        <v>142</v>
      </c>
      <c r="B93" s="100" t="s">
        <v>143</v>
      </c>
      <c r="C93" s="99">
        <v>19</v>
      </c>
      <c r="D93" s="101">
        <v>3200</v>
      </c>
      <c r="E93" s="101">
        <f t="shared" si="1"/>
        <v>60800</v>
      </c>
    </row>
    <row r="94" spans="1:5" x14ac:dyDescent="0.25">
      <c r="A94" s="99" t="s">
        <v>144</v>
      </c>
      <c r="B94" s="100" t="s">
        <v>65</v>
      </c>
      <c r="C94" s="99">
        <v>1</v>
      </c>
      <c r="D94" s="101">
        <v>3200</v>
      </c>
      <c r="E94" s="101">
        <f t="shared" si="1"/>
        <v>3200</v>
      </c>
    </row>
    <row r="95" spans="1:5" x14ac:dyDescent="0.25">
      <c r="A95" s="99" t="s">
        <v>76</v>
      </c>
      <c r="B95" s="100" t="s">
        <v>55</v>
      </c>
      <c r="C95" s="99">
        <v>0</v>
      </c>
      <c r="D95" s="101">
        <v>95</v>
      </c>
      <c r="E95" s="101">
        <f t="shared" si="1"/>
        <v>0</v>
      </c>
    </row>
    <row r="96" spans="1:5" x14ac:dyDescent="0.25">
      <c r="A96" s="99" t="s">
        <v>145</v>
      </c>
      <c r="B96" s="100" t="s">
        <v>72</v>
      </c>
      <c r="C96" s="99">
        <v>0</v>
      </c>
      <c r="D96" s="101">
        <v>113</v>
      </c>
      <c r="E96" s="101">
        <f t="shared" si="1"/>
        <v>0</v>
      </c>
    </row>
    <row r="97" spans="1:5" x14ac:dyDescent="0.25">
      <c r="A97" s="99" t="s">
        <v>146</v>
      </c>
      <c r="B97" s="100" t="s">
        <v>72</v>
      </c>
      <c r="C97" s="99">
        <v>0</v>
      </c>
      <c r="D97" s="101">
        <v>225</v>
      </c>
      <c r="E97" s="101">
        <f t="shared" si="1"/>
        <v>0</v>
      </c>
    </row>
    <row r="98" spans="1:5" x14ac:dyDescent="0.25">
      <c r="A98" s="99" t="s">
        <v>147</v>
      </c>
      <c r="B98" s="100" t="s">
        <v>72</v>
      </c>
      <c r="C98" s="99">
        <v>3</v>
      </c>
      <c r="D98" s="101">
        <v>800</v>
      </c>
      <c r="E98" s="101">
        <f t="shared" si="1"/>
        <v>2400</v>
      </c>
    </row>
    <row r="99" spans="1:5" x14ac:dyDescent="0.25">
      <c r="A99" s="99" t="s">
        <v>148</v>
      </c>
      <c r="B99" s="100" t="s">
        <v>56</v>
      </c>
      <c r="C99" s="99">
        <v>0</v>
      </c>
      <c r="D99" s="101">
        <v>450</v>
      </c>
      <c r="E99" s="101">
        <f t="shared" si="1"/>
        <v>0</v>
      </c>
    </row>
    <row r="100" spans="1:5" x14ac:dyDescent="0.25">
      <c r="A100" s="99" t="s">
        <v>149</v>
      </c>
      <c r="B100" s="100" t="s">
        <v>56</v>
      </c>
      <c r="C100" s="99">
        <v>5</v>
      </c>
      <c r="D100" s="101">
        <v>500</v>
      </c>
      <c r="E100" s="101">
        <f t="shared" si="1"/>
        <v>2500</v>
      </c>
    </row>
    <row r="101" spans="1:5" x14ac:dyDescent="0.25">
      <c r="A101" s="99" t="s">
        <v>148</v>
      </c>
      <c r="B101" s="100" t="s">
        <v>56</v>
      </c>
      <c r="C101" s="99">
        <v>0</v>
      </c>
      <c r="D101" s="101">
        <v>450</v>
      </c>
      <c r="E101" s="101">
        <f t="shared" si="1"/>
        <v>0</v>
      </c>
    </row>
    <row r="102" spans="1:5" x14ac:dyDescent="0.25">
      <c r="A102" s="99" t="s">
        <v>150</v>
      </c>
      <c r="B102" s="100" t="s">
        <v>72</v>
      </c>
      <c r="C102" s="99">
        <v>5</v>
      </c>
      <c r="D102" s="101">
        <v>8000</v>
      </c>
      <c r="E102" s="101">
        <f t="shared" si="1"/>
        <v>40000</v>
      </c>
    </row>
    <row r="103" spans="1:5" x14ac:dyDescent="0.25">
      <c r="A103" s="99" t="s">
        <v>66</v>
      </c>
      <c r="B103" s="100" t="s">
        <v>67</v>
      </c>
      <c r="C103" s="99">
        <v>37</v>
      </c>
      <c r="D103" s="101">
        <v>266</v>
      </c>
      <c r="E103" s="101">
        <f t="shared" si="1"/>
        <v>9842</v>
      </c>
    </row>
    <row r="104" spans="1:5" x14ac:dyDescent="0.25">
      <c r="A104" s="99" t="s">
        <v>151</v>
      </c>
      <c r="B104" s="100" t="s">
        <v>72</v>
      </c>
      <c r="C104" s="99">
        <v>3</v>
      </c>
      <c r="D104" s="101">
        <v>3000</v>
      </c>
      <c r="E104" s="101">
        <f t="shared" si="1"/>
        <v>9000</v>
      </c>
    </row>
    <row r="105" spans="1:5" x14ac:dyDescent="0.25">
      <c r="A105" s="99" t="s">
        <v>152</v>
      </c>
      <c r="B105" s="100" t="s">
        <v>97</v>
      </c>
      <c r="C105" s="99">
        <v>1</v>
      </c>
      <c r="D105" s="101">
        <v>3500</v>
      </c>
      <c r="E105" s="101">
        <f t="shared" si="1"/>
        <v>3500</v>
      </c>
    </row>
    <row r="106" spans="1:5" x14ac:dyDescent="0.25">
      <c r="A106" s="99" t="s">
        <v>153</v>
      </c>
      <c r="B106" s="100" t="s">
        <v>80</v>
      </c>
      <c r="C106" s="99">
        <v>8</v>
      </c>
      <c r="D106" s="101">
        <v>1000</v>
      </c>
      <c r="E106" s="101">
        <f t="shared" si="1"/>
        <v>8000</v>
      </c>
    </row>
    <row r="107" spans="1:5" x14ac:dyDescent="0.25">
      <c r="A107" s="99" t="s">
        <v>154</v>
      </c>
      <c r="B107" s="100" t="s">
        <v>97</v>
      </c>
      <c r="C107" s="99">
        <v>1</v>
      </c>
      <c r="D107" s="101">
        <v>5000</v>
      </c>
      <c r="E107" s="101">
        <f t="shared" si="1"/>
        <v>5000</v>
      </c>
    </row>
    <row r="108" spans="1:5" x14ac:dyDescent="0.25">
      <c r="A108" s="99" t="s">
        <v>155</v>
      </c>
      <c r="B108" s="100" t="s">
        <v>72</v>
      </c>
      <c r="C108" s="99">
        <v>21</v>
      </c>
      <c r="D108" s="101">
        <v>400</v>
      </c>
      <c r="E108" s="101">
        <f t="shared" si="1"/>
        <v>8400</v>
      </c>
    </row>
    <row r="109" spans="1:5" x14ac:dyDescent="0.25">
      <c r="A109" s="99" t="s">
        <v>156</v>
      </c>
      <c r="B109" s="100" t="s">
        <v>72</v>
      </c>
      <c r="C109" s="99">
        <v>1</v>
      </c>
      <c r="D109" s="101">
        <v>2500</v>
      </c>
      <c r="E109" s="101">
        <f t="shared" si="1"/>
        <v>2500</v>
      </c>
    </row>
    <row r="110" spans="1:5" x14ac:dyDescent="0.25">
      <c r="A110" s="99" t="s">
        <v>157</v>
      </c>
      <c r="B110" s="100" t="s">
        <v>72</v>
      </c>
      <c r="C110" s="99">
        <v>0</v>
      </c>
      <c r="D110" s="101">
        <v>90</v>
      </c>
      <c r="E110" s="101">
        <f t="shared" si="1"/>
        <v>0</v>
      </c>
    </row>
    <row r="111" spans="1:5" x14ac:dyDescent="0.25">
      <c r="A111" s="99" t="s">
        <v>158</v>
      </c>
      <c r="B111" s="100" t="s">
        <v>72</v>
      </c>
      <c r="C111" s="99">
        <v>0</v>
      </c>
      <c r="D111" s="101">
        <v>125</v>
      </c>
      <c r="E111" s="101">
        <f t="shared" si="1"/>
        <v>0</v>
      </c>
    </row>
    <row r="112" spans="1:5" x14ac:dyDescent="0.25">
      <c r="A112" s="99" t="s">
        <v>74</v>
      </c>
      <c r="B112" s="100" t="s">
        <v>55</v>
      </c>
      <c r="C112" s="99">
        <v>74</v>
      </c>
      <c r="D112" s="101">
        <v>275</v>
      </c>
      <c r="E112" s="101">
        <f t="shared" si="1"/>
        <v>20350</v>
      </c>
    </row>
    <row r="113" spans="1:5" x14ac:dyDescent="0.25">
      <c r="A113" s="99" t="s">
        <v>159</v>
      </c>
      <c r="B113" s="100" t="s">
        <v>72</v>
      </c>
      <c r="C113" s="99">
        <v>50</v>
      </c>
      <c r="D113" s="101">
        <v>25</v>
      </c>
      <c r="E113" s="101">
        <f t="shared" si="1"/>
        <v>1250</v>
      </c>
    </row>
    <row r="114" spans="1:5" x14ac:dyDescent="0.25">
      <c r="A114" s="99" t="s">
        <v>160</v>
      </c>
      <c r="B114" s="100" t="s">
        <v>97</v>
      </c>
      <c r="C114" s="99">
        <v>1</v>
      </c>
      <c r="D114" s="101">
        <v>155</v>
      </c>
      <c r="E114" s="101">
        <f t="shared" si="1"/>
        <v>155</v>
      </c>
    </row>
    <row r="115" spans="1:5" x14ac:dyDescent="0.25">
      <c r="A115" s="99" t="s">
        <v>88</v>
      </c>
      <c r="B115" s="100" t="s">
        <v>60</v>
      </c>
      <c r="C115" s="99">
        <v>3</v>
      </c>
      <c r="D115" s="101">
        <v>113</v>
      </c>
      <c r="E115" s="101">
        <f t="shared" si="1"/>
        <v>339</v>
      </c>
    </row>
    <row r="116" spans="1:5" x14ac:dyDescent="0.25">
      <c r="A116" s="99" t="s">
        <v>161</v>
      </c>
      <c r="B116" s="100" t="s">
        <v>56</v>
      </c>
      <c r="C116" s="99">
        <v>1</v>
      </c>
      <c r="D116" s="101">
        <v>155.85</v>
      </c>
      <c r="E116" s="101">
        <f t="shared" si="1"/>
        <v>155.85</v>
      </c>
    </row>
    <row r="117" spans="1:5" x14ac:dyDescent="0.25">
      <c r="A117" s="99" t="s">
        <v>162</v>
      </c>
      <c r="B117" s="100" t="s">
        <v>55</v>
      </c>
      <c r="C117" s="99">
        <v>0</v>
      </c>
      <c r="D117" s="101">
        <v>275</v>
      </c>
      <c r="E117" s="101">
        <f t="shared" si="1"/>
        <v>0</v>
      </c>
    </row>
    <row r="118" spans="1:5" x14ac:dyDescent="0.25">
      <c r="A118" s="99" t="s">
        <v>163</v>
      </c>
      <c r="B118" s="100" t="s">
        <v>72</v>
      </c>
      <c r="C118" s="99">
        <v>0</v>
      </c>
      <c r="D118" s="101">
        <v>375</v>
      </c>
      <c r="E118" s="101">
        <f t="shared" si="1"/>
        <v>0</v>
      </c>
    </row>
    <row r="119" spans="1:5" x14ac:dyDescent="0.25">
      <c r="A119" s="99" t="s">
        <v>164</v>
      </c>
      <c r="B119" s="100" t="s">
        <v>72</v>
      </c>
      <c r="C119" s="99">
        <v>0</v>
      </c>
      <c r="D119" s="101">
        <v>350</v>
      </c>
      <c r="E119" s="101">
        <f t="shared" si="1"/>
        <v>0</v>
      </c>
    </row>
    <row r="120" spans="1:5" x14ac:dyDescent="0.25">
      <c r="A120" s="99" t="s">
        <v>165</v>
      </c>
      <c r="B120" s="100" t="s">
        <v>72</v>
      </c>
      <c r="C120" s="99">
        <v>0</v>
      </c>
      <c r="D120" s="101">
        <v>210</v>
      </c>
      <c r="E120" s="101">
        <f t="shared" si="1"/>
        <v>0</v>
      </c>
    </row>
    <row r="121" spans="1:5" x14ac:dyDescent="0.25">
      <c r="A121" s="99" t="s">
        <v>166</v>
      </c>
      <c r="B121" s="100" t="s">
        <v>97</v>
      </c>
      <c r="C121" s="99">
        <v>1</v>
      </c>
      <c r="D121" s="101">
        <v>275</v>
      </c>
      <c r="E121" s="101">
        <f t="shared" si="1"/>
        <v>275</v>
      </c>
    </row>
    <row r="122" spans="1:5" x14ac:dyDescent="0.25">
      <c r="A122" s="99" t="s">
        <v>178</v>
      </c>
      <c r="B122" s="100" t="s">
        <v>72</v>
      </c>
      <c r="C122" s="99">
        <v>5</v>
      </c>
      <c r="D122" s="101">
        <v>175</v>
      </c>
      <c r="E122" s="101">
        <f t="shared" si="1"/>
        <v>875</v>
      </c>
    </row>
    <row r="123" spans="1:5" x14ac:dyDescent="0.25">
      <c r="A123" s="99" t="s">
        <v>167</v>
      </c>
      <c r="B123" s="100" t="s">
        <v>55</v>
      </c>
      <c r="C123" s="99">
        <v>3</v>
      </c>
      <c r="D123" s="101">
        <v>310</v>
      </c>
      <c r="E123" s="101">
        <f t="shared" si="1"/>
        <v>930</v>
      </c>
    </row>
    <row r="124" spans="1:5" x14ac:dyDescent="0.25">
      <c r="A124" s="99" t="s">
        <v>168</v>
      </c>
      <c r="B124" s="100" t="s">
        <v>169</v>
      </c>
      <c r="C124" s="99">
        <v>1</v>
      </c>
      <c r="D124" s="101">
        <v>800</v>
      </c>
      <c r="E124" s="101">
        <f t="shared" si="1"/>
        <v>800</v>
      </c>
    </row>
    <row r="125" spans="1:5" x14ac:dyDescent="0.25">
      <c r="A125" s="99" t="s">
        <v>171</v>
      </c>
      <c r="B125" s="100" t="s">
        <v>70</v>
      </c>
      <c r="C125" s="99">
        <v>5</v>
      </c>
      <c r="D125" s="101">
        <f>4566.6/30</f>
        <v>152.22</v>
      </c>
      <c r="E125" s="101">
        <f t="shared" si="1"/>
        <v>761.1</v>
      </c>
    </row>
    <row r="126" spans="1:5" x14ac:dyDescent="0.25">
      <c r="A126" s="99" t="s">
        <v>172</v>
      </c>
      <c r="B126" s="100" t="s">
        <v>72</v>
      </c>
      <c r="C126" s="99">
        <v>23</v>
      </c>
      <c r="D126" s="101">
        <v>25</v>
      </c>
      <c r="E126" s="101">
        <f t="shared" si="1"/>
        <v>575</v>
      </c>
    </row>
    <row r="127" spans="1:5" x14ac:dyDescent="0.25">
      <c r="A127" s="99" t="s">
        <v>173</v>
      </c>
      <c r="B127" s="100" t="s">
        <v>177</v>
      </c>
      <c r="C127" s="99">
        <v>4</v>
      </c>
      <c r="D127" s="101">
        <f>4380.8/10</f>
        <v>438.08000000000004</v>
      </c>
      <c r="E127" s="101">
        <f t="shared" si="1"/>
        <v>1752.3200000000002</v>
      </c>
    </row>
    <row r="128" spans="1:5" x14ac:dyDescent="0.25">
      <c r="A128" s="99" t="s">
        <v>174</v>
      </c>
      <c r="B128" s="100" t="s">
        <v>113</v>
      </c>
      <c r="C128" s="99">
        <v>2</v>
      </c>
      <c r="D128" s="101">
        <f>2607.8/2</f>
        <v>1303.9000000000001</v>
      </c>
      <c r="E128" s="101">
        <f t="shared" si="1"/>
        <v>2607.8000000000002</v>
      </c>
    </row>
    <row r="129" spans="1:5" x14ac:dyDescent="0.25">
      <c r="A129" s="99" t="s">
        <v>170</v>
      </c>
      <c r="B129" s="100" t="s">
        <v>72</v>
      </c>
      <c r="C129" s="99">
        <v>12</v>
      </c>
      <c r="D129" s="101">
        <v>1500</v>
      </c>
      <c r="E129" s="101">
        <f t="shared" si="1"/>
        <v>18000</v>
      </c>
    </row>
    <row r="130" spans="1:5" ht="15.75" thickBot="1" x14ac:dyDescent="0.3">
      <c r="A130" s="105"/>
      <c r="B130" s="105"/>
      <c r="C130" s="105"/>
      <c r="D130" s="17" t="s">
        <v>35</v>
      </c>
      <c r="E130" s="106">
        <f>SUM(E11:E129)</f>
        <v>963147.52</v>
      </c>
    </row>
    <row r="131" spans="1:5" ht="15.75" thickTop="1" x14ac:dyDescent="0.25">
      <c r="A131" s="96"/>
      <c r="B131" s="96"/>
      <c r="C131" s="96"/>
      <c r="D131" s="96"/>
      <c r="E131" s="96"/>
    </row>
    <row r="132" spans="1:5" x14ac:dyDescent="0.25">
      <c r="A132" s="107"/>
      <c r="B132" s="96"/>
      <c r="C132" s="107"/>
      <c r="D132" s="107"/>
      <c r="E132" s="107"/>
    </row>
    <row r="133" spans="1:5" x14ac:dyDescent="0.25">
      <c r="A133" s="110" t="s">
        <v>38</v>
      </c>
      <c r="B133" s="96"/>
      <c r="C133" s="115" t="s">
        <v>52</v>
      </c>
      <c r="D133" s="115"/>
      <c r="E133" s="115"/>
    </row>
    <row r="134" spans="1:5" x14ac:dyDescent="0.25">
      <c r="A134" s="110" t="s">
        <v>51</v>
      </c>
      <c r="B134" s="96"/>
      <c r="C134" s="115" t="s">
        <v>53</v>
      </c>
      <c r="D134" s="115"/>
      <c r="E134" s="115"/>
    </row>
  </sheetData>
  <mergeCells count="9">
    <mergeCell ref="C133:E133"/>
    <mergeCell ref="C134:E134"/>
    <mergeCell ref="A6:E6"/>
    <mergeCell ref="A7:E7"/>
    <mergeCell ref="A8:E8"/>
    <mergeCell ref="A9:A10"/>
    <mergeCell ref="C9:C10"/>
    <mergeCell ref="E9:E10"/>
    <mergeCell ref="B9:B10"/>
  </mergeCells>
  <pageMargins left="0.70866141732283505" right="0.70866141732283505" top="0.74803149606299202" bottom="0.74803149606299202" header="0.31496062992126" footer="0.31496062992126"/>
  <pageSetup scale="80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disponiblilidad</vt:lpstr>
      <vt:lpstr>Inventario almacen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Lidia Paniagua</dc:creator>
  <cp:lastModifiedBy>Jose Nuñez</cp:lastModifiedBy>
  <cp:lastPrinted>2023-10-13T11:48:35Z</cp:lastPrinted>
  <dcterms:created xsi:type="dcterms:W3CDTF">2016-10-11T17:56:00Z</dcterms:created>
  <dcterms:modified xsi:type="dcterms:W3CDTF">2023-10-16T16:18:04Z</dcterms:modified>
</cp:coreProperties>
</file>